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28380" windowHeight="12465"/>
  </bookViews>
  <sheets>
    <sheet name="28.05.2026" sheetId="1" r:id="rId1"/>
  </sheets>
  <definedNames>
    <definedName name="_xlnm._FilterDatabase" localSheetId="0" hidden="1">'28.05.2026'!$A$9:$BZ$172</definedName>
    <definedName name="_xlnm.Print_Titles" localSheetId="0">'28.05.2026'!$A:$B,'28.05.2026'!$4:$9</definedName>
  </definedNames>
  <calcPr calcId="125725"/>
</workbook>
</file>

<file path=xl/calcChain.xml><?xml version="1.0" encoding="utf-8"?>
<calcChain xmlns="http://schemas.openxmlformats.org/spreadsheetml/2006/main">
  <c r="C172" i="1"/>
  <c r="J171"/>
  <c r="C171"/>
  <c r="J170"/>
  <c r="C170"/>
  <c r="C169"/>
  <c r="J168"/>
  <c r="C168"/>
  <c r="C167"/>
  <c r="C166"/>
  <c r="C165"/>
  <c r="AE164"/>
  <c r="J164"/>
  <c r="C164"/>
  <c r="C163"/>
  <c r="J162"/>
  <c r="C162"/>
  <c r="C161"/>
  <c r="BB160"/>
  <c r="C160"/>
  <c r="AE159"/>
  <c r="K159"/>
  <c r="C159"/>
  <c r="C158"/>
  <c r="BR157"/>
  <c r="BL157"/>
  <c r="C157"/>
  <c r="AU156"/>
  <c r="AE156"/>
  <c r="C156"/>
  <c r="AE155"/>
  <c r="J155"/>
  <c r="C155"/>
  <c r="BC154"/>
  <c r="BB154"/>
  <c r="C154"/>
  <c r="C153"/>
  <c r="C152"/>
  <c r="AI151"/>
  <c r="AE151" s="1"/>
  <c r="J151"/>
  <c r="C151"/>
  <c r="AE150"/>
  <c r="J150"/>
  <c r="C150"/>
  <c r="AE149"/>
  <c r="J149"/>
  <c r="C149"/>
  <c r="AI148"/>
  <c r="AE148" s="1"/>
  <c r="J148"/>
  <c r="C148"/>
  <c r="AE147"/>
  <c r="J147"/>
  <c r="C147"/>
  <c r="C146"/>
  <c r="C145"/>
  <c r="AE144"/>
  <c r="C144"/>
  <c r="C143"/>
  <c r="AE142"/>
  <c r="C142"/>
  <c r="AE141"/>
  <c r="C141"/>
  <c r="C140"/>
  <c r="AI139"/>
  <c r="AE139" s="1"/>
  <c r="J139"/>
  <c r="C139"/>
  <c r="AE138"/>
  <c r="C138"/>
  <c r="C137"/>
  <c r="AE136"/>
  <c r="J136"/>
  <c r="C136"/>
  <c r="AE135"/>
  <c r="C135"/>
  <c r="AE134"/>
  <c r="C134"/>
  <c r="AE133"/>
  <c r="C133"/>
  <c r="AE132"/>
  <c r="C132"/>
  <c r="AE131"/>
  <c r="C131"/>
  <c r="AE130"/>
  <c r="C130"/>
  <c r="AE129"/>
  <c r="C129"/>
  <c r="AE128"/>
  <c r="C128"/>
  <c r="AE127"/>
  <c r="J127"/>
  <c r="C127"/>
  <c r="AE126"/>
  <c r="C126"/>
  <c r="AE125"/>
  <c r="J125"/>
  <c r="C125"/>
  <c r="AE124"/>
  <c r="K124"/>
  <c r="J124" s="1"/>
  <c r="C124"/>
  <c r="J123"/>
  <c r="C123"/>
  <c r="AE122"/>
  <c r="J122"/>
  <c r="C122"/>
  <c r="J121"/>
  <c r="C121"/>
  <c r="AE120"/>
  <c r="J120"/>
  <c r="C120"/>
  <c r="AE119"/>
  <c r="J119"/>
  <c r="D119"/>
  <c r="C119" s="1"/>
  <c r="AE118"/>
  <c r="C118"/>
  <c r="AX117"/>
  <c r="AP117"/>
  <c r="AL117"/>
  <c r="AE117" s="1"/>
  <c r="Y117"/>
  <c r="U117"/>
  <c r="T117" s="1"/>
  <c r="Q117"/>
  <c r="J117"/>
  <c r="D117"/>
  <c r="C117" s="1"/>
  <c r="AY116"/>
  <c r="AX116" s="1"/>
  <c r="AU116"/>
  <c r="AP116"/>
  <c r="AL116"/>
  <c r="AE116" s="1"/>
  <c r="Y116"/>
  <c r="U116"/>
  <c r="T116" s="1"/>
  <c r="Q116"/>
  <c r="J116"/>
  <c r="C116"/>
  <c r="AE115"/>
  <c r="C115"/>
  <c r="AY114"/>
  <c r="AX114" s="1"/>
  <c r="AV114"/>
  <c r="AU114"/>
  <c r="AP114"/>
  <c r="AL114"/>
  <c r="AE114" s="1"/>
  <c r="Y114"/>
  <c r="U114"/>
  <c r="T114" s="1"/>
  <c r="Q114"/>
  <c r="J114"/>
  <c r="C114"/>
  <c r="AE113"/>
  <c r="C113"/>
  <c r="AY112"/>
  <c r="AX112" s="1"/>
  <c r="AV112"/>
  <c r="AU112" s="1"/>
  <c r="AP112"/>
  <c r="AL112"/>
  <c r="AE112" s="1"/>
  <c r="Y112"/>
  <c r="U112"/>
  <c r="T112" s="1"/>
  <c r="Q112"/>
  <c r="J112"/>
  <c r="C112"/>
  <c r="AY111"/>
  <c r="AX111" s="1"/>
  <c r="AU111"/>
  <c r="AP111"/>
  <c r="AL111"/>
  <c r="AE111" s="1"/>
  <c r="Y111"/>
  <c r="U111"/>
  <c r="T111" s="1"/>
  <c r="Q111"/>
  <c r="J111"/>
  <c r="C111"/>
  <c r="AY110"/>
  <c r="AX110" s="1"/>
  <c r="AV110"/>
  <c r="AU110" s="1"/>
  <c r="AP110"/>
  <c r="AL110"/>
  <c r="AE110" s="1"/>
  <c r="Y110"/>
  <c r="T110"/>
  <c r="Q110"/>
  <c r="J110"/>
  <c r="C110"/>
  <c r="AY109"/>
  <c r="AX109" s="1"/>
  <c r="AV109"/>
  <c r="AU109" s="1"/>
  <c r="AP109"/>
  <c r="AL109"/>
  <c r="AE109" s="1"/>
  <c r="Y109"/>
  <c r="U109"/>
  <c r="T109" s="1"/>
  <c r="Q109"/>
  <c r="J109"/>
  <c r="C109"/>
  <c r="AY108"/>
  <c r="AX108" s="1"/>
  <c r="AV108"/>
  <c r="AU108"/>
  <c r="AP108"/>
  <c r="AL108"/>
  <c r="AE108" s="1"/>
  <c r="Y108"/>
  <c r="T108"/>
  <c r="Q108"/>
  <c r="J108"/>
  <c r="C108"/>
  <c r="AY107"/>
  <c r="AX107" s="1"/>
  <c r="AV107"/>
  <c r="AU107" s="1"/>
  <c r="AP107"/>
  <c r="AL107"/>
  <c r="AE107" s="1"/>
  <c r="Y107"/>
  <c r="U107"/>
  <c r="T107" s="1"/>
  <c r="Q107"/>
  <c r="J107"/>
  <c r="C107"/>
  <c r="AY106"/>
  <c r="AX106" s="1"/>
  <c r="AV106"/>
  <c r="AU106" s="1"/>
  <c r="AP106"/>
  <c r="AL106"/>
  <c r="AE106" s="1"/>
  <c r="Y106"/>
  <c r="U106"/>
  <c r="T106" s="1"/>
  <c r="Q106"/>
  <c r="J106"/>
  <c r="C106"/>
  <c r="AY105"/>
  <c r="AX105" s="1"/>
  <c r="AV105"/>
  <c r="AU105" s="1"/>
  <c r="AP105"/>
  <c r="AL105"/>
  <c r="AE105" s="1"/>
  <c r="Y105"/>
  <c r="T105"/>
  <c r="Q105"/>
  <c r="J105"/>
  <c r="C105"/>
  <c r="AY104"/>
  <c r="AX104" s="1"/>
  <c r="AV104"/>
  <c r="AU104" s="1"/>
  <c r="AP104"/>
  <c r="AL104"/>
  <c r="AE104" s="1"/>
  <c r="Y104"/>
  <c r="U104"/>
  <c r="T104" s="1"/>
  <c r="Q104"/>
  <c r="J104"/>
  <c r="D104"/>
  <c r="C104" s="1"/>
  <c r="BA103"/>
  <c r="AY103"/>
  <c r="AU103"/>
  <c r="AP103"/>
  <c r="AL103"/>
  <c r="AE103" s="1"/>
  <c r="Y103"/>
  <c r="U103"/>
  <c r="T103" s="1"/>
  <c r="Q103"/>
  <c r="J103"/>
  <c r="C103"/>
  <c r="AY102"/>
  <c r="AX102" s="1"/>
  <c r="AU102"/>
  <c r="AP102"/>
  <c r="AL102"/>
  <c r="AE102" s="1"/>
  <c r="Y102"/>
  <c r="T102"/>
  <c r="Q102"/>
  <c r="J102"/>
  <c r="C102"/>
  <c r="AY101"/>
  <c r="AX101" s="1"/>
  <c r="AV101"/>
  <c r="AU101" s="1"/>
  <c r="AP101"/>
  <c r="AL101"/>
  <c r="AE101" s="1"/>
  <c r="Y101"/>
  <c r="U101"/>
  <c r="T101" s="1"/>
  <c r="Q101"/>
  <c r="J101"/>
  <c r="D101"/>
  <c r="C101" s="1"/>
  <c r="AY100"/>
  <c r="AX100" s="1"/>
  <c r="AV100"/>
  <c r="AU100" s="1"/>
  <c r="AP100"/>
  <c r="AL100"/>
  <c r="AE100" s="1"/>
  <c r="Y100"/>
  <c r="U100"/>
  <c r="T100" s="1"/>
  <c r="Q100"/>
  <c r="J100"/>
  <c r="C100"/>
  <c r="AY99"/>
  <c r="AX99" s="1"/>
  <c r="AV99"/>
  <c r="AU99" s="1"/>
  <c r="AP99"/>
  <c r="AL99"/>
  <c r="AE99" s="1"/>
  <c r="Y99"/>
  <c r="U99"/>
  <c r="T99" s="1"/>
  <c r="Q99"/>
  <c r="J99"/>
  <c r="C99"/>
  <c r="AY98"/>
  <c r="AX98" s="1"/>
  <c r="AU98"/>
  <c r="AP98"/>
  <c r="AL98"/>
  <c r="AE98" s="1"/>
  <c r="Y98"/>
  <c r="T98"/>
  <c r="Q98"/>
  <c r="J98"/>
  <c r="C98"/>
  <c r="AE97"/>
  <c r="C97"/>
  <c r="AX96"/>
  <c r="AL96"/>
  <c r="AE96" s="1"/>
  <c r="T96"/>
  <c r="Q96"/>
  <c r="J96"/>
  <c r="C96"/>
  <c r="AY95"/>
  <c r="AX95" s="1"/>
  <c r="AV95"/>
  <c r="AU95" s="1"/>
  <c r="AP95"/>
  <c r="AL95"/>
  <c r="AE95" s="1"/>
  <c r="Y95"/>
  <c r="U95"/>
  <c r="T95" s="1"/>
  <c r="Q95"/>
  <c r="J95"/>
  <c r="C95"/>
  <c r="AY94"/>
  <c r="AX94" s="1"/>
  <c r="AU94"/>
  <c r="AP94"/>
  <c r="AL94"/>
  <c r="AE94" s="1"/>
  <c r="Y94"/>
  <c r="T94"/>
  <c r="Q94"/>
  <c r="J94"/>
  <c r="C94"/>
  <c r="AE93"/>
  <c r="C93"/>
  <c r="AY92"/>
  <c r="AX92" s="1"/>
  <c r="AV92"/>
  <c r="AU92" s="1"/>
  <c r="AP92"/>
  <c r="AL92"/>
  <c r="AE92" s="1"/>
  <c r="Y92"/>
  <c r="U92"/>
  <c r="T92" s="1"/>
  <c r="Q92"/>
  <c r="J92"/>
  <c r="C92"/>
  <c r="AY91"/>
  <c r="AX91" s="1"/>
  <c r="AU91"/>
  <c r="AP91"/>
  <c r="AL91"/>
  <c r="AE91" s="1"/>
  <c r="Y91"/>
  <c r="U91"/>
  <c r="T91" s="1"/>
  <c r="Q91"/>
  <c r="J91"/>
  <c r="D91"/>
  <c r="C91" s="1"/>
  <c r="AY90"/>
  <c r="AX90" s="1"/>
  <c r="AV90"/>
  <c r="AU90" s="1"/>
  <c r="AP90"/>
  <c r="AL90"/>
  <c r="AE90" s="1"/>
  <c r="Y90"/>
  <c r="U90"/>
  <c r="T90" s="1"/>
  <c r="Q90"/>
  <c r="J90"/>
  <c r="C90"/>
  <c r="AY89"/>
  <c r="AX89" s="1"/>
  <c r="AU89"/>
  <c r="AP89"/>
  <c r="AL89"/>
  <c r="AE89" s="1"/>
  <c r="Y89"/>
  <c r="U89"/>
  <c r="T89" s="1"/>
  <c r="Q89"/>
  <c r="J89"/>
  <c r="C89"/>
  <c r="AE88"/>
  <c r="C88"/>
  <c r="AX87"/>
  <c r="AP87"/>
  <c r="AL87"/>
  <c r="AE87" s="1"/>
  <c r="T87"/>
  <c r="Q87"/>
  <c r="J87"/>
  <c r="C87"/>
  <c r="BB86"/>
  <c r="AY86"/>
  <c r="AX86" s="1"/>
  <c r="AV86"/>
  <c r="AU86" s="1"/>
  <c r="AT86"/>
  <c r="AP86" s="1"/>
  <c r="AL86"/>
  <c r="AE86" s="1"/>
  <c r="Y86"/>
  <c r="U86"/>
  <c r="T86" s="1"/>
  <c r="Q86"/>
  <c r="J86"/>
  <c r="D86"/>
  <c r="C86" s="1"/>
  <c r="AY85"/>
  <c r="AX85" s="1"/>
  <c r="AV85"/>
  <c r="AU85" s="1"/>
  <c r="AP85"/>
  <c r="AL85"/>
  <c r="AI85"/>
  <c r="Y85"/>
  <c r="U85"/>
  <c r="T85" s="1"/>
  <c r="Q85"/>
  <c r="J85"/>
  <c r="C85"/>
  <c r="AY84"/>
  <c r="AX84" s="1"/>
  <c r="AV84"/>
  <c r="AU84" s="1"/>
  <c r="AP84"/>
  <c r="AL84"/>
  <c r="AE84" s="1"/>
  <c r="Y84"/>
  <c r="U84"/>
  <c r="T84" s="1"/>
  <c r="Q84"/>
  <c r="J84"/>
  <c r="C84"/>
  <c r="AY83"/>
  <c r="AX83" s="1"/>
  <c r="AV83"/>
  <c r="AU83" s="1"/>
  <c r="AP83"/>
  <c r="AL83"/>
  <c r="AE83" s="1"/>
  <c r="Y83"/>
  <c r="T83"/>
  <c r="Q83"/>
  <c r="J83"/>
  <c r="C83"/>
  <c r="AE82"/>
  <c r="C82"/>
  <c r="AY81"/>
  <c r="AX81" s="1"/>
  <c r="AV81"/>
  <c r="AU81" s="1"/>
  <c r="AP81"/>
  <c r="AL81"/>
  <c r="AE81" s="1"/>
  <c r="Y81"/>
  <c r="U81"/>
  <c r="T81" s="1"/>
  <c r="Q81"/>
  <c r="J81"/>
  <c r="C81"/>
  <c r="AY80"/>
  <c r="AX80" s="1"/>
  <c r="AV80"/>
  <c r="AU80" s="1"/>
  <c r="AP80"/>
  <c r="AL80"/>
  <c r="AE80" s="1"/>
  <c r="Y80"/>
  <c r="T80"/>
  <c r="Q80"/>
  <c r="J80"/>
  <c r="C80"/>
  <c r="BE79"/>
  <c r="AY79"/>
  <c r="AX79" s="1"/>
  <c r="AV79"/>
  <c r="AU79" s="1"/>
  <c r="AP79"/>
  <c r="AL79"/>
  <c r="AE79" s="1"/>
  <c r="Y79"/>
  <c r="T79"/>
  <c r="Q79"/>
  <c r="J79"/>
  <c r="C79"/>
  <c r="AY78"/>
  <c r="AX78" s="1"/>
  <c r="AV78"/>
  <c r="AU78" s="1"/>
  <c r="AP78"/>
  <c r="AL78"/>
  <c r="AE78" s="1"/>
  <c r="Y78"/>
  <c r="T78"/>
  <c r="Q78"/>
  <c r="J78"/>
  <c r="C78"/>
  <c r="AY77"/>
  <c r="AX77" s="1"/>
  <c r="AV77"/>
  <c r="AU77" s="1"/>
  <c r="AP77"/>
  <c r="AL77"/>
  <c r="AE77" s="1"/>
  <c r="Y77"/>
  <c r="U77"/>
  <c r="T77" s="1"/>
  <c r="Q77"/>
  <c r="J77"/>
  <c r="C77"/>
  <c r="AY76"/>
  <c r="AX76" s="1"/>
  <c r="AV76"/>
  <c r="AU76" s="1"/>
  <c r="AP76"/>
  <c r="AL76"/>
  <c r="AE76" s="1"/>
  <c r="Y76"/>
  <c r="U76"/>
  <c r="T76" s="1"/>
  <c r="Q76"/>
  <c r="J76"/>
  <c r="C76"/>
  <c r="AY75"/>
  <c r="AX75" s="1"/>
  <c r="AU75"/>
  <c r="AP75"/>
  <c r="AL75"/>
  <c r="AE75" s="1"/>
  <c r="Y75"/>
  <c r="T75"/>
  <c r="Q75"/>
  <c r="J75"/>
  <c r="C75"/>
  <c r="AI74"/>
  <c r="AE74" s="1"/>
  <c r="J74"/>
  <c r="G74"/>
  <c r="C74"/>
  <c r="AX73"/>
  <c r="AP73"/>
  <c r="AL73"/>
  <c r="AE73" s="1"/>
  <c r="AD73"/>
  <c r="W73"/>
  <c r="T73" s="1"/>
  <c r="Q73"/>
  <c r="J73"/>
  <c r="C73"/>
  <c r="AE72"/>
  <c r="C72"/>
  <c r="AY71"/>
  <c r="AX71" s="1"/>
  <c r="AV71"/>
  <c r="AU71" s="1"/>
  <c r="AP71"/>
  <c r="AL71"/>
  <c r="AE71" s="1"/>
  <c r="Y71"/>
  <c r="U71"/>
  <c r="T71" s="1"/>
  <c r="Q71"/>
  <c r="J71"/>
  <c r="C71"/>
  <c r="AX70"/>
  <c r="AL70"/>
  <c r="AE70" s="1"/>
  <c r="T70"/>
  <c r="Q70"/>
  <c r="J70"/>
  <c r="C70"/>
  <c r="AY69"/>
  <c r="AX69" s="1"/>
  <c r="AV69"/>
  <c r="AU69"/>
  <c r="AP69"/>
  <c r="AL69"/>
  <c r="AE69" s="1"/>
  <c r="Y69"/>
  <c r="U69"/>
  <c r="T69" s="1"/>
  <c r="Q69"/>
  <c r="J69"/>
  <c r="C69"/>
  <c r="BC68"/>
  <c r="BB68"/>
  <c r="AY68"/>
  <c r="AX68" s="1"/>
  <c r="AV68"/>
  <c r="AU68" s="1"/>
  <c r="AP68"/>
  <c r="AL68"/>
  <c r="AE68" s="1"/>
  <c r="Y68"/>
  <c r="U68"/>
  <c r="T68"/>
  <c r="Q68"/>
  <c r="J68"/>
  <c r="D68"/>
  <c r="C68"/>
  <c r="BC67"/>
  <c r="AY67"/>
  <c r="AX67" s="1"/>
  <c r="AV67"/>
  <c r="AU67" s="1"/>
  <c r="AT67"/>
  <c r="AP67" s="1"/>
  <c r="AL67"/>
  <c r="AE67" s="1"/>
  <c r="Y67"/>
  <c r="U67"/>
  <c r="T67" s="1"/>
  <c r="Q67"/>
  <c r="J67"/>
  <c r="C67"/>
  <c r="AX66"/>
  <c r="AE66"/>
  <c r="J66"/>
  <c r="D66"/>
  <c r="C66" s="1"/>
  <c r="AE65"/>
  <c r="J65"/>
  <c r="C65"/>
  <c r="J64"/>
  <c r="C64"/>
  <c r="AE63"/>
  <c r="C63"/>
  <c r="AX62"/>
  <c r="AP62"/>
  <c r="AL62"/>
  <c r="AE62" s="1"/>
  <c r="T62"/>
  <c r="Q62"/>
  <c r="C62"/>
  <c r="AF61"/>
  <c r="AE61" s="1"/>
  <c r="AD61"/>
  <c r="AC61"/>
  <c r="J61"/>
  <c r="C61"/>
  <c r="AY60"/>
  <c r="AX60" s="1"/>
  <c r="AV60"/>
  <c r="AU60" s="1"/>
  <c r="AP60"/>
  <c r="AL60"/>
  <c r="AE60" s="1"/>
  <c r="Y60"/>
  <c r="U60"/>
  <c r="T60" s="1"/>
  <c r="Q60"/>
  <c r="J60"/>
  <c r="C60"/>
  <c r="AE59"/>
  <c r="J59"/>
  <c r="C59"/>
  <c r="AX58"/>
  <c r="AL58"/>
  <c r="AE58" s="1"/>
  <c r="T58"/>
  <c r="Q58"/>
  <c r="P58" s="1"/>
  <c r="J58"/>
  <c r="C58"/>
  <c r="AE57"/>
  <c r="C57"/>
  <c r="AY56"/>
  <c r="AX56" s="1"/>
  <c r="AV56"/>
  <c r="AU56" s="1"/>
  <c r="AP56"/>
  <c r="AL56"/>
  <c r="AE56" s="1"/>
  <c r="Y56"/>
  <c r="U56"/>
  <c r="T56" s="1"/>
  <c r="Q56"/>
  <c r="J56"/>
  <c r="C56"/>
  <c r="AE55"/>
  <c r="J55"/>
  <c r="C55"/>
  <c r="AX54"/>
  <c r="AL54"/>
  <c r="AE54" s="1"/>
  <c r="T54"/>
  <c r="Q54"/>
  <c r="J54"/>
  <c r="C54"/>
  <c r="AY53"/>
  <c r="AX53" s="1"/>
  <c r="AV53"/>
  <c r="AU53" s="1"/>
  <c r="AP53"/>
  <c r="AL53"/>
  <c r="AE53" s="1"/>
  <c r="Y53"/>
  <c r="U53"/>
  <c r="T53" s="1"/>
  <c r="Q53"/>
  <c r="J53"/>
  <c r="D53"/>
  <c r="C53" s="1"/>
  <c r="AY52"/>
  <c r="AX52" s="1"/>
  <c r="AV52"/>
  <c r="AU52" s="1"/>
  <c r="AP52"/>
  <c r="AL52"/>
  <c r="AE52" s="1"/>
  <c r="Y52"/>
  <c r="U52"/>
  <c r="T52" s="1"/>
  <c r="Q52"/>
  <c r="J52"/>
  <c r="C52"/>
  <c r="BE51"/>
  <c r="AX51"/>
  <c r="AL51"/>
  <c r="AE51"/>
  <c r="T51"/>
  <c r="Q51"/>
  <c r="J51"/>
  <c r="C51"/>
  <c r="AE50"/>
  <c r="C50"/>
  <c r="AY49"/>
  <c r="AX49"/>
  <c r="AV49"/>
  <c r="AU49" s="1"/>
  <c r="AT49"/>
  <c r="AP49" s="1"/>
  <c r="AL49"/>
  <c r="AE49" s="1"/>
  <c r="Y49"/>
  <c r="U49"/>
  <c r="T49" s="1"/>
  <c r="Q49"/>
  <c r="J49"/>
  <c r="C49"/>
  <c r="AE48"/>
  <c r="J48"/>
  <c r="C48"/>
  <c r="AZ47"/>
  <c r="AX47" s="1"/>
  <c r="AE47"/>
  <c r="J47"/>
  <c r="C47"/>
  <c r="AX46"/>
  <c r="AE46"/>
  <c r="J46"/>
  <c r="C46"/>
  <c r="AX45"/>
  <c r="AL45"/>
  <c r="AE45" s="1"/>
  <c r="T45"/>
  <c r="Q45"/>
  <c r="J45"/>
  <c r="C45"/>
  <c r="AE44"/>
  <c r="C44"/>
  <c r="BB43"/>
  <c r="AY43"/>
  <c r="AX43" s="1"/>
  <c r="AV43"/>
  <c r="AU43" s="1"/>
  <c r="AP43"/>
  <c r="AL43"/>
  <c r="AI43"/>
  <c r="Y43"/>
  <c r="U43"/>
  <c r="T43" s="1"/>
  <c r="Q43"/>
  <c r="J43"/>
  <c r="C43"/>
  <c r="AY42"/>
  <c r="AX42" s="1"/>
  <c r="AV42"/>
  <c r="AU42" s="1"/>
  <c r="AP42"/>
  <c r="AL42"/>
  <c r="AE42" s="1"/>
  <c r="Y42"/>
  <c r="U42"/>
  <c r="T42" s="1"/>
  <c r="Q42"/>
  <c r="J42"/>
  <c r="D42"/>
  <c r="C42" s="1"/>
  <c r="BE41"/>
  <c r="AY41"/>
  <c r="AX41" s="1"/>
  <c r="AV41"/>
  <c r="AU41" s="1"/>
  <c r="AP41"/>
  <c r="AL41"/>
  <c r="AE41" s="1"/>
  <c r="Y41"/>
  <c r="U41"/>
  <c r="T41" s="1"/>
  <c r="Q41"/>
  <c r="J41"/>
  <c r="D41"/>
  <c r="C41" s="1"/>
  <c r="AE40"/>
  <c r="C40"/>
  <c r="AY39"/>
  <c r="AX39" s="1"/>
  <c r="AV39"/>
  <c r="AU39" s="1"/>
  <c r="AT39"/>
  <c r="AP39" s="1"/>
  <c r="AL39"/>
  <c r="AE39" s="1"/>
  <c r="Y39"/>
  <c r="U39"/>
  <c r="T39" s="1"/>
  <c r="Q39"/>
  <c r="J39"/>
  <c r="C39"/>
  <c r="AE38"/>
  <c r="T38"/>
  <c r="P38" s="1"/>
  <c r="C38"/>
  <c r="AX37"/>
  <c r="AP37"/>
  <c r="AL37"/>
  <c r="AE37" s="1"/>
  <c r="T37"/>
  <c r="Q37"/>
  <c r="J37"/>
  <c r="C37"/>
  <c r="AE36"/>
  <c r="J36"/>
  <c r="D36"/>
  <c r="C36" s="1"/>
  <c r="C35"/>
  <c r="C34"/>
  <c r="AE33"/>
  <c r="C33"/>
  <c r="AF32"/>
  <c r="AD32"/>
  <c r="AC32"/>
  <c r="C32"/>
  <c r="AY31"/>
  <c r="AX31" s="1"/>
  <c r="AV31"/>
  <c r="AU31" s="1"/>
  <c r="AP31"/>
  <c r="AL31"/>
  <c r="AE31" s="1"/>
  <c r="Y31"/>
  <c r="U31"/>
  <c r="T31" s="1"/>
  <c r="Q31"/>
  <c r="J31"/>
  <c r="C31"/>
  <c r="AY30"/>
  <c r="AX30" s="1"/>
  <c r="AV30"/>
  <c r="AU30" s="1"/>
  <c r="AP30"/>
  <c r="AL30"/>
  <c r="AE30" s="1"/>
  <c r="Y30"/>
  <c r="U30"/>
  <c r="T30" s="1"/>
  <c r="Q30"/>
  <c r="J30"/>
  <c r="C30"/>
  <c r="AE29"/>
  <c r="J29"/>
  <c r="D29"/>
  <c r="C29" s="1"/>
  <c r="AX28"/>
  <c r="AL28"/>
  <c r="AE28" s="1"/>
  <c r="T28"/>
  <c r="Q28"/>
  <c r="J28"/>
  <c r="C28"/>
  <c r="AE27"/>
  <c r="C27"/>
  <c r="AY26"/>
  <c r="AX26" s="1"/>
  <c r="AV26"/>
  <c r="AU26" s="1"/>
  <c r="AP26"/>
  <c r="AL26"/>
  <c r="AE26" s="1"/>
  <c r="Y26"/>
  <c r="U26"/>
  <c r="Q26"/>
  <c r="J26"/>
  <c r="C26"/>
  <c r="J25"/>
  <c r="C25"/>
  <c r="BJ24"/>
  <c r="AL24"/>
  <c r="AE24" s="1"/>
  <c r="J24"/>
  <c r="C24"/>
  <c r="AL23"/>
  <c r="AE23" s="1"/>
  <c r="C23"/>
  <c r="AE22"/>
  <c r="C22"/>
  <c r="AU21"/>
  <c r="AL21"/>
  <c r="AE21" s="1"/>
  <c r="C21"/>
  <c r="AO20"/>
  <c r="AE20"/>
  <c r="J20"/>
  <c r="C20"/>
  <c r="BQ19"/>
  <c r="BP19"/>
  <c r="AP19"/>
  <c r="AL19"/>
  <c r="AE19" s="1"/>
  <c r="J19"/>
  <c r="H19"/>
  <c r="D19"/>
  <c r="AE18"/>
  <c r="J18"/>
  <c r="C18"/>
  <c r="AE17"/>
  <c r="J17"/>
  <c r="C17"/>
  <c r="AE16"/>
  <c r="J16"/>
  <c r="C16"/>
  <c r="AE15"/>
  <c r="J15"/>
  <c r="C15"/>
  <c r="AE14"/>
  <c r="T14"/>
  <c r="Q14"/>
  <c r="D14"/>
  <c r="C14" s="1"/>
  <c r="AI13"/>
  <c r="AE13" s="1"/>
  <c r="J13"/>
  <c r="G13"/>
  <c r="C13"/>
  <c r="AX12"/>
  <c r="AE12"/>
  <c r="J12"/>
  <c r="C12"/>
  <c r="AL11"/>
  <c r="AE11" s="1"/>
  <c r="J11"/>
  <c r="H11"/>
  <c r="C11" s="1"/>
  <c r="AX10"/>
  <c r="AU10"/>
  <c r="AL10"/>
  <c r="J10"/>
  <c r="H10"/>
  <c r="D10"/>
  <c r="P92" l="1"/>
  <c r="P79"/>
  <c r="P51"/>
  <c r="P69"/>
  <c r="P31"/>
  <c r="P70"/>
  <c r="P116"/>
  <c r="P75"/>
  <c r="P77"/>
  <c r="C19"/>
  <c r="P28"/>
  <c r="P37"/>
  <c r="P43"/>
  <c r="P53"/>
  <c r="P78"/>
  <c r="P83"/>
  <c r="P85"/>
  <c r="P87"/>
  <c r="P105"/>
  <c r="P117"/>
  <c r="P49"/>
  <c r="P73"/>
  <c r="AE43"/>
  <c r="P89"/>
  <c r="P96"/>
  <c r="P108"/>
  <c r="P112"/>
  <c r="P45"/>
  <c r="P80"/>
  <c r="P103"/>
  <c r="P30"/>
  <c r="P42"/>
  <c r="P67"/>
  <c r="P84"/>
  <c r="P90"/>
  <c r="P98"/>
  <c r="P101"/>
  <c r="P107"/>
  <c r="P14"/>
  <c r="T26"/>
  <c r="P26" s="1"/>
  <c r="P41"/>
  <c r="P54"/>
  <c r="P60"/>
  <c r="P71"/>
  <c r="P81"/>
  <c r="AE85"/>
  <c r="P86"/>
  <c r="P91"/>
  <c r="P95"/>
  <c r="P94"/>
  <c r="C10"/>
  <c r="AE10"/>
  <c r="AE32"/>
  <c r="P39"/>
  <c r="P52"/>
  <c r="P56"/>
  <c r="P62"/>
  <c r="P68"/>
  <c r="P99"/>
  <c r="P100"/>
  <c r="P102"/>
  <c r="AX103"/>
  <c r="P104"/>
  <c r="P110"/>
  <c r="P111"/>
  <c r="P114"/>
  <c r="P76"/>
  <c r="P109"/>
  <c r="P106"/>
  <c r="J159"/>
</calcChain>
</file>

<file path=xl/sharedStrings.xml><?xml version="1.0" encoding="utf-8"?>
<sst xmlns="http://schemas.openxmlformats.org/spreadsheetml/2006/main" count="263" uniqueCount="250">
  <si>
    <t>Свод объемов медицинской помощи, предоставляемой медицинскими организациями в рамках территориальной программы обязательного медицинского страхования Волгоградской области на 2026 год</t>
  </si>
  <si>
    <t>Код МО</t>
  </si>
  <si>
    <t>Наименование МО (полное)</t>
  </si>
  <si>
    <t>Стационарная помощь</t>
  </si>
  <si>
    <t>Стационарозамещающая помощь</t>
  </si>
  <si>
    <t>Амбулаторная помощь</t>
  </si>
  <si>
    <t>Скорая помощь, вызов СМП</t>
  </si>
  <si>
    <t>случай госпитализаци, всего</t>
  </si>
  <si>
    <t>в том числе</t>
  </si>
  <si>
    <t>Первичная медико-санитарная помощь</t>
  </si>
  <si>
    <t>Отдельные диагностические (лабораторные) исследования</t>
  </si>
  <si>
    <t>Лабораторные исследования</t>
  </si>
  <si>
    <t>специализированная МП</t>
  </si>
  <si>
    <t>из них:</t>
  </si>
  <si>
    <t>ВМП</t>
  </si>
  <si>
    <t>медицинская реабилитация</t>
  </si>
  <si>
    <t>случай лечения, всего</t>
  </si>
  <si>
    <t>комплексное посещение с профлактической целью, всего</t>
  </si>
  <si>
    <t>посещение Центров здоровья</t>
  </si>
  <si>
    <t>посещение с иными целями</t>
  </si>
  <si>
    <t>посещение по неотложной медицинской помощи</t>
  </si>
  <si>
    <t>обращение в связи сзаболеванием, всего</t>
  </si>
  <si>
    <t>компклексное посещение с целью медицинской реабилитации</t>
  </si>
  <si>
    <t>комплексное поещение по поводу диспансерного наблюдения, всего</t>
  </si>
  <si>
    <t>в том числе по поводу</t>
  </si>
  <si>
    <t xml:space="preserve"> дистанционное наблюдение за состоянием здоровья пациента, всео</t>
  </si>
  <si>
    <t>в том числе:</t>
  </si>
  <si>
    <t>школа,всего</t>
  </si>
  <si>
    <t>компьютерная томография (КТ)</t>
  </si>
  <si>
    <t>магнитно-резонансная томография (МРТ)</t>
  </si>
  <si>
    <t>ультразвуковое исследование сердечно-сосудистой системы (УЗИ ССС)</t>
  </si>
  <si>
    <t>эндоскопическое диагностическое исследование</t>
  </si>
  <si>
    <t>молекулярно-генетическое (с целью диагностики онкологических заболеваний)</t>
  </si>
  <si>
    <t>патолого-анатомическое (с целью диагности онкологических заболеваний)</t>
  </si>
  <si>
    <t>ОФЭКТ/КТ (в т.ч. сцинтиграфия)</t>
  </si>
  <si>
    <t>ПЭТ-КТ при онкологических заболеваниях</t>
  </si>
  <si>
    <t>определение внеклеточной ДНК плода по крови матери</t>
  </si>
  <si>
    <t>определение РНК вируса гепатита C в крови методом ПЦР</t>
  </si>
  <si>
    <t>лабораторная диагностика для пациентов с хроническим вирусным гепатитом С</t>
  </si>
  <si>
    <t>жидкостная цитология (с целью диагностики онкологических заболеваний)</t>
  </si>
  <si>
    <t>пренатальный скрининг</t>
  </si>
  <si>
    <t>резус-фактор плода</t>
  </si>
  <si>
    <t>иммунофенотипирование биологического материала для выявления маркеров ёов</t>
  </si>
  <si>
    <t>исследование клеток костного мозга методом дифференциальной окраски хромосом для выявления клональных опухолевых клеток</t>
  </si>
  <si>
    <t>ЦКДЛ, всего</t>
  </si>
  <si>
    <t>онкология</t>
  </si>
  <si>
    <t>ССХ</t>
  </si>
  <si>
    <t>трансплантация почки</t>
  </si>
  <si>
    <t>из нин:</t>
  </si>
  <si>
    <t>комплексное посещение для проведения профилактических медицинских осмотров, всего</t>
  </si>
  <si>
    <t>комплексное посещение для проведения диспансеризации, всего</t>
  </si>
  <si>
    <t>диспансеризация взрослого населения репродуктивного возраста по оценке репродуктивного здоровья, всего</t>
  </si>
  <si>
    <t>с лечебной целью</t>
  </si>
  <si>
    <t>ЦАОП</t>
  </si>
  <si>
    <t>2 этап диспасеризации (ДВН, УД, ОРЗВН)</t>
  </si>
  <si>
    <t>случай диализа, всего</t>
  </si>
  <si>
    <t>консультация с применением телемедицинских технологий, всего</t>
  </si>
  <si>
    <t>онкологических заболеваний</t>
  </si>
  <si>
    <t>сахарного диабета</t>
  </si>
  <si>
    <t>болезней системы кровообращения</t>
  </si>
  <si>
    <t>иныых заболеваний</t>
  </si>
  <si>
    <t>с сахарным диабетом</t>
  </si>
  <si>
    <t>с артериальной гипертензией</t>
  </si>
  <si>
    <t>для больных с ХНИЗ</t>
  </si>
  <si>
    <t>для беременных</t>
  </si>
  <si>
    <t>школа сахарного диабета (ШСД)</t>
  </si>
  <si>
    <t>биохимическое</t>
  </si>
  <si>
    <t>гематологическое</t>
  </si>
  <si>
    <t>иммунохемилюминесцентное (ИХЛ)</t>
  </si>
  <si>
    <t>коагулогическое</t>
  </si>
  <si>
    <t>микробиологическое</t>
  </si>
  <si>
    <t>полимеразной цепной реакции (ПЦР)</t>
  </si>
  <si>
    <t>ЭКО</t>
  </si>
  <si>
    <t>вирусный гепатит С</t>
  </si>
  <si>
    <t>профилактический медицинский осмотр взрослого населения</t>
  </si>
  <si>
    <t>профилактический медицинский осмотр несовершеннолетних</t>
  </si>
  <si>
    <t>диспансеризация взрослого населения (1 этап)</t>
  </si>
  <si>
    <t>углубленная диспансеризация после COVID-19</t>
  </si>
  <si>
    <t>диспансеризация детей-сирот,  в т.ч. усыновленных</t>
  </si>
  <si>
    <t>диспансеризация детей-сирот,  пребывающих в стационарных учреждениях</t>
  </si>
  <si>
    <t>женщин</t>
  </si>
  <si>
    <t>мужчин</t>
  </si>
  <si>
    <t>гемодиализ</t>
  </si>
  <si>
    <t>перитонеальный диализ</t>
  </si>
  <si>
    <t>при дистанционном взаимодействии медицинских работников между собой</t>
  </si>
  <si>
    <t>при дистанционном взаимодействии медицинских работников с пациентами</t>
  </si>
  <si>
    <t>Государственное бюджетное учреждение здравоохранения "Волгоградская областная клиническая больница № 1", Волгоград</t>
  </si>
  <si>
    <t>Государственное бюджетное учреждение здравоохранения "Волгоградская областная детская клиническая больница"</t>
  </si>
  <si>
    <t>Государственное бюджетное учреждение здравоохранения "Волгоградская областная клиническая больница № 3", Волгоград</t>
  </si>
  <si>
    <t>Государственное бюджетное учреждение здравоохранения "Волгоградский областной уронефрологический центр"</t>
  </si>
  <si>
    <t>Государственное бюджетное учреждение здравоохранения "Волгоградский областной клинический госпиталь ветеранов войн", Волгоград</t>
  </si>
  <si>
    <t>Государственное бюджетное учреждение здравоохранения "Волгоградская областная инфекционная больница № 2", г. Волжский</t>
  </si>
  <si>
    <t>Государственное бюджетное учреждение здравоохранения "Волгоградская областная клиническая инфекционная больница № 1", Волгоград</t>
  </si>
  <si>
    <t>Федеральное государственное автономное учреждение "Национальный медицинский исследовательский центр "Межотраслевой научно-технический комплекс "Микрохирургия глаза" имени академика С.Н. Федорова" Министерства здравоохранения Россий</t>
  </si>
  <si>
    <t>Государственное бюджетное учреждение здравоохранения "Волгоградский областной клинический кожно-венерологический диспансер"</t>
  </si>
  <si>
    <t>Государственное бюджетное учреждение здравоохранения "Волгоградский областной клинический онкологический диспансер"</t>
  </si>
  <si>
    <t>Государственное бюджетное учреждение здравоохранения "Волгоградский областной клинический центр медицинской реабилитации"</t>
  </si>
  <si>
    <t>Государственное бюджетное учреждение здравоохранения "Волгоградский областной клинический кардиологический центр", Волгоград</t>
  </si>
  <si>
    <t>Государственное автономное учреждение здравоохранения "Волгоградская областная клиническая стоматологическая поликлиника", Волгоград</t>
  </si>
  <si>
    <t>Государственное бюджетное учреждение здравоохранения "Волгоградский областной клинический перинатальный центр № 1 им.Л.И.Ушаковой", г.Волжский</t>
  </si>
  <si>
    <t>Государственное бюджетное учреждение здравоохранения "Волгоградский областной клинический перинатальный центр № 2", Волгоград</t>
  </si>
  <si>
    <t>Государственное учреждение здравоохранения "Детская клиническая больница № 8"</t>
  </si>
  <si>
    <t>Государственное учреждение здравоохранения "Поликлиника № 4"</t>
  </si>
  <si>
    <t>Государственное автономное учреждение здравоохранения "Стоматологическая поликлиника № 9"</t>
  </si>
  <si>
    <t>Государственное учреждение здравоохранения "Детская поликлиника № 6"</t>
  </si>
  <si>
    <t>Государственное учреждение здравоохранения "Городская клиническая больница скорой медицинской помощи № 25"</t>
  </si>
  <si>
    <t>Государственное учреждение здравоохранения "Клиническая поликлиника № 28"</t>
  </si>
  <si>
    <t>Государственное учреждение здравоохранения "Поликлиника № 30"</t>
  </si>
  <si>
    <t>Государственное автономное учреждение здравоохранения "Стоматологическая поликлиника № 8"</t>
  </si>
  <si>
    <t>Государственное учреждение здравоохранения  "Консультативно-диагностическая поликлиника  № 2"</t>
  </si>
  <si>
    <t>Государственное бюджетное учреждение здравоохранения "Волгоградское областное патологоанатомическое бюро", Волгоград</t>
  </si>
  <si>
    <t>Государственное бюджетное учреждение здравоохранения "Клиническая станция скорой медицинской помощи"</t>
  </si>
  <si>
    <t>Государственное учреждение здравоохранения "Городская клиническая больница № 1"</t>
  </si>
  <si>
    <t>Государственное учреждение здравоохранения "Детская больница № 1"</t>
  </si>
  <si>
    <t>Федеральное государственное бюджетное учреждение здравоохранения  "Волгоградский медицинский клинический центр Федерального медико-биологического агентства"</t>
  </si>
  <si>
    <t>Государственное учреждение здравоохранения "Поликлиника № 5"</t>
  </si>
  <si>
    <t>Государственное автономное учреждение здравоохранения "Стоматологическая поликлиника № 11"</t>
  </si>
  <si>
    <t>Государственное учреждение здравоохранения "Больница № 16"</t>
  </si>
  <si>
    <t>Государственное учреждение здравоохранения "Больница №22"</t>
  </si>
  <si>
    <t>Государственное учреждение здравоохранения "Клиническая больница скорой медицинской помощи № 15"</t>
  </si>
  <si>
    <t>Государственное автономное учреждение здравоохранения "Клиническая стоматологическая поликлиника № 12"</t>
  </si>
  <si>
    <t>Государственное учреждение здравоохранения "Детская поликлиника № 16"</t>
  </si>
  <si>
    <t>Государственное учреждение здравоохранения "Родильный дом № 4"</t>
  </si>
  <si>
    <t>Государственное учреждение здравоохранения "Клиническая больница № 5"</t>
  </si>
  <si>
    <t>Государственное учреждение здравоохранения "Клиническая больница № 12"</t>
  </si>
  <si>
    <t>Государственное учреждение здравоохранения "Поликлиника № 2"</t>
  </si>
  <si>
    <t>Государственное автономное учреждение здравоохранения "Стоматологическая поликлиника № 7"</t>
  </si>
  <si>
    <t>Государственное учреждение здравоохранения "Детская поликлиника № 1"</t>
  </si>
  <si>
    <t>Государственное учреждение здравоохранения "Клиническая больница скорой медицинской помощи № 7"</t>
  </si>
  <si>
    <t>Государственное учреждение здравоохранения "Клиническая больница № 11"</t>
  </si>
  <si>
    <t>Государственное учреждение здравоохранения "Детская клиническая поликлиника № 31"</t>
  </si>
  <si>
    <t>Государственное учреждение здравоохранения "Клиническая больница № 4 "</t>
  </si>
  <si>
    <t>Государственное учреждение здравоохранение "Клиническая поликлиника № 1"</t>
  </si>
  <si>
    <t>Государственное автономное учреждение здравоохранения "Клиническая стоматологическая поликлиника № 3"</t>
  </si>
  <si>
    <t>Государственное учреждение здравоохранения "Детская поликлиника № 3"</t>
  </si>
  <si>
    <t>Общество с ограниченной ответственностью "Институт управления медицинскими рисками и оптимизации страхования"</t>
  </si>
  <si>
    <t>Государственное автономное учреждение здравоохранения "Клиническая поликлиника № 3"</t>
  </si>
  <si>
    <t>Государственное автономное учреждение здравоохранения "Детская клиническая стоматологическая поликлиника № 2"</t>
  </si>
  <si>
    <t>Государственное учреждение здравоохранения "Детская клиническая поликлиника № 15"</t>
  </si>
  <si>
    <t>Стоматологический клинико-диагностический центр ВолгГМУ</t>
  </si>
  <si>
    <t>Клиника № 1 Федерального государственного бюджетного образовательного учреждения высшего образования "Волгоградский государственный медицинский университет" Министерства здравоохранения Российской Федерации</t>
  </si>
  <si>
    <t>Клиника семейной медицины Федерального государственного бюджетного образовательного учреждения высшего образования "Волгоградский государственный  медицинский университет" Министерства здравоохранения Российской Федерации</t>
  </si>
  <si>
    <t>Государственное учреждение здравоохранения "Клинический родильный дом № 2"</t>
  </si>
  <si>
    <t>Государственное бюджетное учреждение здравоохранения "Городская клиническая больница № 1 им.С.З.Фишера"</t>
  </si>
  <si>
    <t>Государственное бюджетное учреждение здравоохранения "Городская клиническая больница №3"</t>
  </si>
  <si>
    <t>Государственное бюджетное учреждение здравоохранения "Городская больница № 2"</t>
  </si>
  <si>
    <t>Государственное бюджетное учреждение здравоохранения "Городская детская больница"</t>
  </si>
  <si>
    <t>Государственное бюджетное учреждение здравоохранения "Городская поликлиника № 5"</t>
  </si>
  <si>
    <t>Государственное автономное учреждение здравоохранения "Волжская городская стоматологическая поликлиника"</t>
  </si>
  <si>
    <t>Государственное бюджетное учреждение здравоохранения "Городская детская поликлиника № 2"</t>
  </si>
  <si>
    <t>Федеральное государственное бюджетное учреждение "Национальный медицинский исследовательский центр трансплантологии и искусственных органов имени академика В.И. Шумакова" Министерства здравоохранения Российской Федерации</t>
  </si>
  <si>
    <t>Государственное бюджетное учреждение здравоохранения Центральная районная больница Алексеевского муниципального района</t>
  </si>
  <si>
    <t>Государственное бюджетное учреждение здравоохранения "Быковская центральная районная больница"</t>
  </si>
  <si>
    <t>Государственное бюджетное учреждение здравоохранения "Городищенская центральная районная больница"</t>
  </si>
  <si>
    <t>Государственное бюджетное учреждение здравоохранения "Даниловская центральная районная больница"</t>
  </si>
  <si>
    <t>Государственное бюджетное учреждение здравоохранения "Центральная районная больница Дубовского муниципального района"</t>
  </si>
  <si>
    <t>Государственное бюджетное учреждение здравоохранения Еланская центральная районная больница Волгоградской области</t>
  </si>
  <si>
    <t>Государственное  учреждение здравоохранения "Жирновская центральная районная больница"</t>
  </si>
  <si>
    <t>Государственное автономное учреждение здравоохранения "Жирновская стоматологическая поликлиника"</t>
  </si>
  <si>
    <t>Государственное бюджетное учреждение здравоохранения "Иловлинская центральная районная больница"</t>
  </si>
  <si>
    <t>Государственное бюджетное учреждение здравоохранения "Калачевская центральная районная больница"</t>
  </si>
  <si>
    <t>Государственное бюджетное учреждение здравоохранения г.Камышина "Городская больница № 1"</t>
  </si>
  <si>
    <t>Государственное бюджетное учреждение здравоохранения "Центральная городская больница г.Камышина"</t>
  </si>
  <si>
    <t>Государственное бюджетное учреждение здравоохранения "Камышинская детская городская больница"</t>
  </si>
  <si>
    <t>Государственное автономное учреждение здравоохранения г. Камышина "Стоматологическая поликлиника № 1"</t>
  </si>
  <si>
    <t>Государственное бюджетное учреждение здравоохранения "Киквидзенская центральная районная больница"</t>
  </si>
  <si>
    <t>Государственное бюджетное учреждение здравоохранения "Центральная районная больница Клетского муниципального района Волгоградской области"</t>
  </si>
  <si>
    <t>Государственное бюджетное учреждение здравоохранения "Котельниковская центральная районная больница"</t>
  </si>
  <si>
    <t>Государственное бюджетное учреждение здравоохранения "Центральная районная больница" Котовского муниципального района</t>
  </si>
  <si>
    <t>Государственное автономное учреждение здравоохранения "Котовская стоматологическая поликлиника"</t>
  </si>
  <si>
    <t>Государственное бюджетное учреждение здравоохранения "Ленинская центральная районная больница"</t>
  </si>
  <si>
    <t>Государственное бюджетное учреждение здравоохранения "Михайловская центральная районная больница"</t>
  </si>
  <si>
    <t>Государственное бюджетное учреждение здравоохранения "Михайловская городская детская больница"</t>
  </si>
  <si>
    <t>Государственное автономное учреждение здравоохранения "Михайловская стоматологическая поликлиника"</t>
  </si>
  <si>
    <t>Государственное бюджетное учреждение здравоохранения "Нехаевская центральная районная больница"</t>
  </si>
  <si>
    <t>Государственное бюджетное учреждение здравоохранения "Николаевская центральная районная больница"</t>
  </si>
  <si>
    <t>Государственное бюджетное учреждение здравоохранения "Новоаннинская центральная районная больница"</t>
  </si>
  <si>
    <t>Государственное бюджетное учреждение здравоохранения "Новониколаевская центральная районная больница"</t>
  </si>
  <si>
    <t>Государственное бюджетное учреждение здравоохранения "Октябрьская центральная районная больница"</t>
  </si>
  <si>
    <t>Государственное бюджетное учреждение здравоохранения "Центральная районная больница Ольховского муниципального района"</t>
  </si>
  <si>
    <t>Государственное бюджетное учреждение здравоохранения "Палласовская центральная районная больница"</t>
  </si>
  <si>
    <t>Государственное бюджетное учреждение здравоохранения "Кумылженская центральная районная больница"</t>
  </si>
  <si>
    <t>Государственное бюджетное учреждение Руднянского муниципального района Волгоградской области "Центральная районная больница Руднянского муниципального района"</t>
  </si>
  <si>
    <t>Государственное бюджетное учреждение здравоохранения "Светлоярская центральная районная больница" Светлоярского муниципального района Волгоградской области</t>
  </si>
  <si>
    <t>Государственное бюджетное учреждение здравоохранения "Серафимовичская Центральная районная больница"</t>
  </si>
  <si>
    <t>Государственное бюджетное учреждение здравоохранения "Среднеахтубинская центральная районная больница"</t>
  </si>
  <si>
    <t>Государственное бюджетное учреждение здравоохранения "Старополтавская центральная районная больница"</t>
  </si>
  <si>
    <t>Государственное бюджетное учреждение здравоохранения "Центральная районная больница Суровикинского муниципального района", Волгоградская область, город Суровикино</t>
  </si>
  <si>
    <t>Государственное  бюджетное учреждение здравоохранения Урюпинская центральная районная больница имени В.Ф. Жогова</t>
  </si>
  <si>
    <t>Закрытое акционерное общество  "Стоматолог"</t>
  </si>
  <si>
    <t>Государственное бюджетное учреждение здравоохранения "Фроловская центральная районная больница"</t>
  </si>
  <si>
    <t>Государственное автономное учреждение здравоохранения "Стоматологическая поликлиника"</t>
  </si>
  <si>
    <t>Государственное бюджетное учреждение здравоохранения Чернышковская Центральная районная больница</t>
  </si>
  <si>
    <t>Частное учреждение здравоохранения "Клиническая больница "РЖД-Медицина" города Волгоград"</t>
  </si>
  <si>
    <t>Федеральное казенное учреждение здравоохранения "Медико-санитарная часть Министерства внутренних дел Российской Федерации по Волгоградской области"</t>
  </si>
  <si>
    <t>Федеральное государственное бюджетное учреждение "413 военный госпиталь" Министерства обороны Российской Федерации</t>
  </si>
  <si>
    <t>Общество с ограниченной ответственностью "Геном-Волга"</t>
  </si>
  <si>
    <t>Общество с ограниченной ответственностью "ЦЕНТР ЭКО"</t>
  </si>
  <si>
    <t>Акционерное общество "Многопрофильный Медицинский Центр"</t>
  </si>
  <si>
    <t>Общество с ограниченной ответственностью "ХАВЕН"</t>
  </si>
  <si>
    <t>Общество с ограниченной ответственностью "Центр лазерной коррекции и микрохирургии"</t>
  </si>
  <si>
    <t>общество с ограниченной ответственностью "СитиМед"</t>
  </si>
  <si>
    <t>Филиал Общества с ограниченной ответственностью "РУСАЛ Медицинский Центр" в г.Волгограде</t>
  </si>
  <si>
    <t>Акционерное общество "Федеральный научно-производственный центр "Титан-Баррикады"</t>
  </si>
  <si>
    <t>Общество с ограниченной ответственностью "Стома-ВИД"</t>
  </si>
  <si>
    <t>Общество с ограниченной ответственностью "Стоматологическая поликлиника "Лазурь"</t>
  </si>
  <si>
    <t>Общество с ограниченной ответственностью "ЕвропаДент"</t>
  </si>
  <si>
    <t>Общество с ограниченной ответственностью "Аполлония"</t>
  </si>
  <si>
    <t>Общество с ограниченной ответственностью "ВИТА"</t>
  </si>
  <si>
    <t>Общество с ограниченной ответственностью "Виктория"</t>
  </si>
  <si>
    <t>Общество с ограниченной ответственностью "Магия улыбки"</t>
  </si>
  <si>
    <t>Общество с ограниченной ответственностью "Стоматология "Арт-Дент"</t>
  </si>
  <si>
    <t>Общество с ограниченной ответственностью "СОПРАНО"</t>
  </si>
  <si>
    <t>Общество с ограниченной ответственностью "Волгамедлаб"</t>
  </si>
  <si>
    <t>Общество с ограниченной ответственностью "ПрофМед"</t>
  </si>
  <si>
    <t>Общество с ограниченной ответствененостью "НЕФРОЛОГИЧЕСКИЙ ЦЕНТР"</t>
  </si>
  <si>
    <t>Общество с ограниченной ответственностью "КДЛ-ДОМОДЕДОВО-ТЕСТ"</t>
  </si>
  <si>
    <t>Общество с ограниченной ответственностью "Галерея"</t>
  </si>
  <si>
    <t>Общество с ограниченной ответственностью "СК"</t>
  </si>
  <si>
    <t>Общество с ограниченной ответственностью "Хеликс Краснодар"</t>
  </si>
  <si>
    <t>Общество с ограниченной ответственностью "М-ЛАЙН МЕДИЦИНА"</t>
  </si>
  <si>
    <t>Общество с ограниченной ответственностью "Лечебный диагностический центр Международного института биологических систем - Волгоград"</t>
  </si>
  <si>
    <t>Общество с ограниченной ответственностью "Эвоген"</t>
  </si>
  <si>
    <t>Общество с ограниченной ответственностью "Медицинская клиника "Рефлекс"</t>
  </si>
  <si>
    <t>Общество с ограниченной ответственностью "Центр Диализа Астрахань"</t>
  </si>
  <si>
    <t>Негосударственное медицинское частное учреждение "ЗДОРОВЬЕ+"</t>
  </si>
  <si>
    <t>Общество с ограниченной ответственностью "Клиника Академическая"</t>
  </si>
  <si>
    <t>Общество с ограниченной ответственностью "ДИАЛИЗ СП"</t>
  </si>
  <si>
    <t>Общество с ограниченной ответственностью "Звезда"</t>
  </si>
  <si>
    <t>Общество с ограниченной ответственностью "Диагностика Экстра-Камышин"</t>
  </si>
  <si>
    <t>Общество с ограниченной ответственностью "Деметра Плюс"</t>
  </si>
  <si>
    <t>Общество с ограниченной ответственностью "Многопрофильная клиника "Вита-Лайт"</t>
  </si>
  <si>
    <t>Общество с ограниченной ответственностью "М-ЛАЙН"</t>
  </si>
  <si>
    <t>Общество с ограниченной ответственностью "Региональная Диагностическая Лаборатория"</t>
  </si>
  <si>
    <t>Общество с ограниченной ответственностью "МЕДТЕХНИКА"</t>
  </si>
  <si>
    <t>Общество с ограниченной ответственностью "Центр коррекции и восстановления зрения"</t>
  </si>
  <si>
    <t>Общество с ограниченной ответственностью "Поликлиника доктора Парамонова"</t>
  </si>
  <si>
    <t>Общество с ограниченной ответственностью "Спектр-Диагностика Волгоград"</t>
  </si>
  <si>
    <t>Общество с ограниченной ответственностью "ПРОМЕД"</t>
  </si>
  <si>
    <t>Общество с ограниченной ответственностью "Локальный диагностический центр-Волгоград"</t>
  </si>
  <si>
    <t>Общество с ограниченной ответственностью "Центр хирургии глаза"</t>
  </si>
  <si>
    <t>Общество с ограниченной ответственностью "Лаборатория Гемотест"</t>
  </si>
  <si>
    <t>Общество с ограниченной ответственностью "ВИТАЛАБ"</t>
  </si>
  <si>
    <t>Общество с ограниченной ответственностью "ВЕРО"</t>
  </si>
  <si>
    <t>Общество с ограниченной ответственностью "ОКО ПЛЮС"</t>
  </si>
  <si>
    <t>Общество с ограниченной ответственностью "ИНВИТРО-Ростов-на-Дону"</t>
  </si>
  <si>
    <t>Общество с ограниченной ответственностью "Волгоградский Флебологический Центр Профессора Ларина С.И."</t>
  </si>
  <si>
    <t>Общество с ограниченной ответственностью "Клиника семейного здоровья"</t>
  </si>
  <si>
    <t>Общество с ограниченной ответственностью Станция Скорой Медицинской Помощи "Неотложка"</t>
  </si>
  <si>
    <t>(с изменениями от 06.02.2026, 04.03.2026, 23.03.2026, 27.04.2026, 28.05.2026)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</si>
</sst>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Continuous" vertical="top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1" xfId="0" quotePrefix="1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Fill="1" applyBorder="1" applyAlignment="1">
      <alignment horizontal="center" vertical="top" wrapText="1"/>
    </xf>
    <xf numFmtId="3" fontId="2" fillId="0" borderId="4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3" fontId="2" fillId="0" borderId="5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Fill="1" applyBorder="1" applyAlignment="1">
      <alignment horizontal="center" vertical="top" wrapText="1"/>
    </xf>
    <xf numFmtId="3" fontId="2" fillId="0" borderId="7" xfId="0" applyNumberFormat="1" applyFont="1" applyFill="1" applyBorder="1" applyAlignment="1">
      <alignment horizontal="center" vertical="top" wrapText="1"/>
    </xf>
    <xf numFmtId="3" fontId="2" fillId="0" borderId="8" xfId="0" applyNumberFormat="1" applyFont="1" applyFill="1" applyBorder="1" applyAlignment="1">
      <alignment horizontal="center" vertical="top" wrapText="1"/>
    </xf>
    <xf numFmtId="3" fontId="2" fillId="0" borderId="9" xfId="0" applyNumberFormat="1" applyFont="1" applyFill="1" applyBorder="1" applyAlignment="1">
      <alignment horizontal="center" vertical="top" wrapText="1"/>
    </xf>
    <xf numFmtId="3" fontId="2" fillId="0" borderId="10" xfId="0" applyNumberFormat="1" applyFont="1" applyFill="1" applyBorder="1" applyAlignment="1">
      <alignment horizontal="center" vertical="top" wrapText="1"/>
    </xf>
    <xf numFmtId="3" fontId="2" fillId="0" borderId="11" xfId="0" applyNumberFormat="1" applyFont="1" applyFill="1" applyBorder="1" applyAlignment="1">
      <alignment horizontal="center" vertical="top" wrapText="1"/>
    </xf>
    <xf numFmtId="3" fontId="2" fillId="0" borderId="12" xfId="0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3" fontId="2" fillId="0" borderId="13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0" fontId="2" fillId="0" borderId="1" xfId="0" quotePrefix="1" applyNumberFormat="1" applyFont="1" applyFill="1" applyBorder="1" applyAlignment="1">
      <alignment horizontal="center" vertical="top"/>
    </xf>
    <xf numFmtId="0" fontId="2" fillId="0" borderId="1" xfId="0" quotePrefix="1" applyNumberFormat="1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vertical="top"/>
    </xf>
    <xf numFmtId="3" fontId="2" fillId="0" borderId="0" xfId="0" applyNumberFormat="1" applyFont="1" applyFill="1" applyAlignment="1">
      <alignment vertical="top"/>
    </xf>
    <xf numFmtId="3" fontId="2" fillId="0" borderId="1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vertical="top"/>
    </xf>
    <xf numFmtId="3" fontId="2" fillId="0" borderId="13" xfId="0" applyNumberFormat="1" applyFont="1" applyFill="1" applyBorder="1" applyAlignment="1">
      <alignment vertical="top"/>
    </xf>
    <xf numFmtId="3" fontId="2" fillId="0" borderId="13" xfId="0" applyNumberFormat="1" applyFont="1" applyFill="1" applyBorder="1" applyAlignment="1">
      <alignment vertical="top" wrapText="1"/>
    </xf>
    <xf numFmtId="3" fontId="2" fillId="0" borderId="5" xfId="0" applyNumberFormat="1" applyFont="1" applyFill="1" applyBorder="1" applyAlignment="1">
      <alignment horizontal="center" vertical="top" wrapText="1"/>
    </xf>
    <xf numFmtId="3" fontId="3" fillId="0" borderId="13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3" fontId="2" fillId="0" borderId="0" xfId="0" applyNumberFormat="1" applyFont="1" applyFill="1" applyAlignment="1">
      <alignment vertical="top" wrapText="1"/>
    </xf>
    <xf numFmtId="9" fontId="2" fillId="0" borderId="0" xfId="1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76"/>
  <sheetViews>
    <sheetView tabSelected="1" zoomScaleNormal="100" workbookViewId="0">
      <pane xSplit="2" ySplit="9" topLeftCell="C73" activePane="bottomRight" state="frozen"/>
      <selection pane="topRight" activeCell="D1" sqref="D1"/>
      <selection pane="bottomLeft" activeCell="A10" sqref="A10"/>
      <selection pane="bottomRight"/>
    </sheetView>
  </sheetViews>
  <sheetFormatPr defaultRowHeight="12.75"/>
  <cols>
    <col min="1" max="1" width="7.42578125" style="6" bestFit="1" customWidth="1"/>
    <col min="2" max="2" width="50.7109375" style="6" customWidth="1"/>
    <col min="3" max="15" width="10.7109375" style="1" customWidth="1"/>
    <col min="16" max="76" width="10.7109375" style="5" customWidth="1"/>
    <col min="77" max="77" width="10.7109375" style="1" customWidth="1"/>
    <col min="78" max="16384" width="9.140625" style="5"/>
  </cols>
  <sheetData>
    <row r="1" spans="1:78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78">
      <c r="C2" s="7" t="s">
        <v>249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</row>
    <row r="3" spans="1:78" s="6" customFormat="1">
      <c r="A3" s="9"/>
      <c r="B3" s="9"/>
      <c r="C3" s="8"/>
      <c r="D3" s="8"/>
      <c r="E3" s="8"/>
      <c r="F3" s="8"/>
      <c r="G3" s="8"/>
      <c r="H3" s="8"/>
      <c r="I3" s="9"/>
      <c r="J3" s="9"/>
      <c r="K3" s="8"/>
      <c r="L3" s="8"/>
      <c r="M3" s="8"/>
      <c r="N3" s="8"/>
      <c r="O3" s="8"/>
      <c r="P3" s="8"/>
      <c r="Q3" s="9"/>
      <c r="R3" s="8"/>
      <c r="S3" s="8"/>
      <c r="T3" s="8"/>
      <c r="U3" s="8"/>
      <c r="V3" s="9"/>
      <c r="W3" s="9"/>
      <c r="X3" s="8"/>
      <c r="Y3" s="8"/>
      <c r="Z3" s="8"/>
      <c r="AA3" s="8"/>
      <c r="AB3" s="8"/>
      <c r="AC3" s="8"/>
      <c r="AD3" s="9"/>
      <c r="AE3" s="8"/>
      <c r="AF3" s="8"/>
      <c r="AG3" s="8"/>
      <c r="AH3" s="8"/>
      <c r="AI3" s="8"/>
      <c r="AJ3" s="8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8"/>
      <c r="BC3" s="8"/>
      <c r="BD3" s="8"/>
      <c r="BE3" s="8"/>
      <c r="BF3" s="9"/>
      <c r="BG3" s="9"/>
      <c r="BH3" s="9"/>
      <c r="BI3" s="9"/>
      <c r="BJ3" s="9"/>
      <c r="BK3" s="9"/>
      <c r="BL3" s="9"/>
      <c r="BM3" s="8"/>
      <c r="BN3" s="8"/>
      <c r="BO3" s="8"/>
      <c r="BP3" s="8"/>
      <c r="BQ3" s="8"/>
      <c r="BR3" s="9"/>
      <c r="BS3" s="9"/>
      <c r="BT3" s="8"/>
      <c r="BU3" s="8"/>
      <c r="BV3" s="8"/>
      <c r="BW3" s="8"/>
      <c r="BX3" s="9"/>
      <c r="BY3" s="9"/>
    </row>
    <row r="4" spans="1:78" s="6" customFormat="1">
      <c r="A4" s="10" t="s">
        <v>1</v>
      </c>
      <c r="B4" s="11" t="s">
        <v>2</v>
      </c>
      <c r="C4" s="12" t="s">
        <v>3</v>
      </c>
      <c r="D4" s="12"/>
      <c r="E4" s="12"/>
      <c r="F4" s="12"/>
      <c r="G4" s="12"/>
      <c r="H4" s="12"/>
      <c r="I4" s="12"/>
      <c r="J4" s="13" t="s">
        <v>4</v>
      </c>
      <c r="K4" s="14"/>
      <c r="L4" s="14"/>
      <c r="M4" s="14"/>
      <c r="N4" s="14"/>
      <c r="O4" s="15"/>
      <c r="P4" s="16" t="s">
        <v>5</v>
      </c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7" t="s">
        <v>6</v>
      </c>
    </row>
    <row r="5" spans="1:78" s="6" customFormat="1" ht="12.75" customHeight="1">
      <c r="A5" s="10"/>
      <c r="B5" s="11"/>
      <c r="C5" s="12" t="s">
        <v>7</v>
      </c>
      <c r="D5" s="12" t="s">
        <v>8</v>
      </c>
      <c r="E5" s="12"/>
      <c r="F5" s="12"/>
      <c r="G5" s="12"/>
      <c r="H5" s="12"/>
      <c r="I5" s="12"/>
      <c r="J5" s="18"/>
      <c r="K5" s="19"/>
      <c r="L5" s="19"/>
      <c r="M5" s="19"/>
      <c r="N5" s="19"/>
      <c r="O5" s="20"/>
      <c r="P5" s="21" t="s">
        <v>9</v>
      </c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3"/>
      <c r="BB5" s="21" t="s">
        <v>10</v>
      </c>
      <c r="BC5" s="22"/>
      <c r="BD5" s="22"/>
      <c r="BE5" s="22"/>
      <c r="BF5" s="22"/>
      <c r="BG5" s="22"/>
      <c r="BH5" s="22"/>
      <c r="BI5" s="22"/>
      <c r="BJ5" s="22"/>
      <c r="BK5" s="22"/>
      <c r="BL5" s="23"/>
      <c r="BM5" s="21" t="s">
        <v>11</v>
      </c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3"/>
      <c r="BY5" s="24"/>
    </row>
    <row r="6" spans="1:78" ht="12.75" customHeight="1">
      <c r="A6" s="10"/>
      <c r="B6" s="11"/>
      <c r="C6" s="12"/>
      <c r="D6" s="12" t="s">
        <v>12</v>
      </c>
      <c r="E6" s="21" t="s">
        <v>13</v>
      </c>
      <c r="F6" s="22"/>
      <c r="G6" s="23"/>
      <c r="H6" s="12" t="s">
        <v>14</v>
      </c>
      <c r="I6" s="12" t="s">
        <v>15</v>
      </c>
      <c r="J6" s="12" t="s">
        <v>16</v>
      </c>
      <c r="K6" s="25" t="s">
        <v>8</v>
      </c>
      <c r="L6" s="26"/>
      <c r="M6" s="26"/>
      <c r="N6" s="26"/>
      <c r="O6" s="27"/>
      <c r="P6" s="12" t="s">
        <v>17</v>
      </c>
      <c r="Q6" s="21" t="s">
        <v>8</v>
      </c>
      <c r="R6" s="22"/>
      <c r="S6" s="22"/>
      <c r="T6" s="22"/>
      <c r="U6" s="22"/>
      <c r="V6" s="22"/>
      <c r="W6" s="22"/>
      <c r="X6" s="22"/>
      <c r="Y6" s="22"/>
      <c r="Z6" s="22"/>
      <c r="AA6" s="23"/>
      <c r="AB6" s="12" t="s">
        <v>18</v>
      </c>
      <c r="AC6" s="12" t="s">
        <v>19</v>
      </c>
      <c r="AD6" s="12" t="s">
        <v>20</v>
      </c>
      <c r="AE6" s="12" t="s">
        <v>21</v>
      </c>
      <c r="AF6" s="25" t="s">
        <v>8</v>
      </c>
      <c r="AG6" s="26"/>
      <c r="AH6" s="26"/>
      <c r="AI6" s="26"/>
      <c r="AJ6" s="26"/>
      <c r="AK6" s="26"/>
      <c r="AL6" s="26"/>
      <c r="AM6" s="26"/>
      <c r="AN6" s="27"/>
      <c r="AO6" s="12" t="s">
        <v>22</v>
      </c>
      <c r="AP6" s="28" t="s">
        <v>23</v>
      </c>
      <c r="AQ6" s="28" t="s">
        <v>24</v>
      </c>
      <c r="AR6" s="28"/>
      <c r="AS6" s="28"/>
      <c r="AT6" s="28"/>
      <c r="AU6" s="12" t="s">
        <v>25</v>
      </c>
      <c r="AV6" s="28" t="s">
        <v>26</v>
      </c>
      <c r="AW6" s="28"/>
      <c r="AX6" s="12" t="s">
        <v>27</v>
      </c>
      <c r="AY6" s="28" t="s">
        <v>26</v>
      </c>
      <c r="AZ6" s="28"/>
      <c r="BA6" s="28"/>
      <c r="BB6" s="12" t="s">
        <v>28</v>
      </c>
      <c r="BC6" s="12" t="s">
        <v>29</v>
      </c>
      <c r="BD6" s="12" t="s">
        <v>30</v>
      </c>
      <c r="BE6" s="12" t="s">
        <v>31</v>
      </c>
      <c r="BF6" s="12" t="s">
        <v>32</v>
      </c>
      <c r="BG6" s="12" t="s">
        <v>33</v>
      </c>
      <c r="BH6" s="12" t="s">
        <v>34</v>
      </c>
      <c r="BI6" s="12" t="s">
        <v>35</v>
      </c>
      <c r="BJ6" s="12" t="s">
        <v>36</v>
      </c>
      <c r="BK6" s="12" t="s">
        <v>37</v>
      </c>
      <c r="BL6" s="12" t="s">
        <v>38</v>
      </c>
      <c r="BM6" s="23" t="s">
        <v>39</v>
      </c>
      <c r="BN6" s="12" t="s">
        <v>40</v>
      </c>
      <c r="BO6" s="12" t="s">
        <v>41</v>
      </c>
      <c r="BP6" s="12" t="s">
        <v>42</v>
      </c>
      <c r="BQ6" s="12" t="s">
        <v>43</v>
      </c>
      <c r="BR6" s="12" t="s">
        <v>44</v>
      </c>
      <c r="BS6" s="12" t="s">
        <v>26</v>
      </c>
      <c r="BT6" s="12"/>
      <c r="BU6" s="12"/>
      <c r="BV6" s="12"/>
      <c r="BW6" s="12"/>
      <c r="BX6" s="12"/>
      <c r="BY6" s="24"/>
    </row>
    <row r="7" spans="1:78" ht="12.75" customHeight="1">
      <c r="A7" s="10"/>
      <c r="B7" s="11"/>
      <c r="C7" s="12"/>
      <c r="D7" s="12"/>
      <c r="E7" s="17" t="s">
        <v>45</v>
      </c>
      <c r="F7" s="17" t="s">
        <v>46</v>
      </c>
      <c r="G7" s="17" t="s">
        <v>47</v>
      </c>
      <c r="H7" s="12"/>
      <c r="I7" s="12"/>
      <c r="J7" s="12"/>
      <c r="K7" s="12" t="s">
        <v>12</v>
      </c>
      <c r="L7" s="21" t="s">
        <v>48</v>
      </c>
      <c r="M7" s="22"/>
      <c r="N7" s="23"/>
      <c r="O7" s="12" t="s">
        <v>15</v>
      </c>
      <c r="P7" s="12"/>
      <c r="Q7" s="12" t="s">
        <v>49</v>
      </c>
      <c r="R7" s="12" t="s">
        <v>8</v>
      </c>
      <c r="S7" s="12"/>
      <c r="T7" s="12" t="s">
        <v>50</v>
      </c>
      <c r="U7" s="12" t="s">
        <v>8</v>
      </c>
      <c r="V7" s="12"/>
      <c r="W7" s="12"/>
      <c r="X7" s="12"/>
      <c r="Y7" s="17" t="s">
        <v>51</v>
      </c>
      <c r="Z7" s="12" t="s">
        <v>26</v>
      </c>
      <c r="AA7" s="12"/>
      <c r="AB7" s="12"/>
      <c r="AC7" s="12"/>
      <c r="AD7" s="12"/>
      <c r="AE7" s="12"/>
      <c r="AF7" s="12" t="s">
        <v>52</v>
      </c>
      <c r="AG7" s="12" t="s">
        <v>53</v>
      </c>
      <c r="AH7" s="12" t="s">
        <v>54</v>
      </c>
      <c r="AI7" s="29" t="s">
        <v>55</v>
      </c>
      <c r="AJ7" s="25" t="s">
        <v>26</v>
      </c>
      <c r="AK7" s="27"/>
      <c r="AL7" s="29" t="s">
        <v>56</v>
      </c>
      <c r="AM7" s="25" t="s">
        <v>26</v>
      </c>
      <c r="AN7" s="27"/>
      <c r="AO7" s="12"/>
      <c r="AP7" s="28"/>
      <c r="AQ7" s="12" t="s">
        <v>57</v>
      </c>
      <c r="AR7" s="17" t="s">
        <v>58</v>
      </c>
      <c r="AS7" s="17" t="s">
        <v>59</v>
      </c>
      <c r="AT7" s="17" t="s">
        <v>60</v>
      </c>
      <c r="AU7" s="12"/>
      <c r="AV7" s="12" t="s">
        <v>61</v>
      </c>
      <c r="AW7" s="12" t="s">
        <v>62</v>
      </c>
      <c r="AX7" s="12"/>
      <c r="AY7" s="12" t="s">
        <v>63</v>
      </c>
      <c r="AZ7" s="12" t="s">
        <v>64</v>
      </c>
      <c r="BA7" s="12" t="s">
        <v>65</v>
      </c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23"/>
      <c r="BN7" s="12"/>
      <c r="BO7" s="12"/>
      <c r="BP7" s="12"/>
      <c r="BQ7" s="12"/>
      <c r="BR7" s="12"/>
      <c r="BS7" s="17" t="s">
        <v>66</v>
      </c>
      <c r="BT7" s="17" t="s">
        <v>67</v>
      </c>
      <c r="BU7" s="17" t="s">
        <v>68</v>
      </c>
      <c r="BV7" s="17" t="s">
        <v>69</v>
      </c>
      <c r="BW7" s="17" t="s">
        <v>70</v>
      </c>
      <c r="BX7" s="17" t="s">
        <v>71</v>
      </c>
      <c r="BY7" s="24"/>
    </row>
    <row r="8" spans="1:78" ht="12.75" customHeight="1">
      <c r="A8" s="10"/>
      <c r="B8" s="11"/>
      <c r="C8" s="12"/>
      <c r="D8" s="12"/>
      <c r="E8" s="24"/>
      <c r="F8" s="24"/>
      <c r="G8" s="24"/>
      <c r="H8" s="12"/>
      <c r="I8" s="12"/>
      <c r="J8" s="12"/>
      <c r="K8" s="12"/>
      <c r="L8" s="12" t="s">
        <v>45</v>
      </c>
      <c r="M8" s="12" t="s">
        <v>72</v>
      </c>
      <c r="N8" s="12" t="s">
        <v>73</v>
      </c>
      <c r="O8" s="12"/>
      <c r="P8" s="12"/>
      <c r="Q8" s="12"/>
      <c r="R8" s="17" t="s">
        <v>74</v>
      </c>
      <c r="S8" s="17" t="s">
        <v>75</v>
      </c>
      <c r="T8" s="12"/>
      <c r="U8" s="17" t="s">
        <v>76</v>
      </c>
      <c r="V8" s="17" t="s">
        <v>77</v>
      </c>
      <c r="W8" s="17" t="s">
        <v>78</v>
      </c>
      <c r="X8" s="17" t="s">
        <v>79</v>
      </c>
      <c r="Y8" s="24"/>
      <c r="Z8" s="12" t="s">
        <v>80</v>
      </c>
      <c r="AA8" s="12" t="s">
        <v>81</v>
      </c>
      <c r="AB8" s="12"/>
      <c r="AC8" s="12"/>
      <c r="AD8" s="12"/>
      <c r="AE8" s="12"/>
      <c r="AF8" s="12"/>
      <c r="AG8" s="12"/>
      <c r="AH8" s="12"/>
      <c r="AI8" s="30"/>
      <c r="AJ8" s="31" t="s">
        <v>82</v>
      </c>
      <c r="AK8" s="12" t="s">
        <v>83</v>
      </c>
      <c r="AL8" s="30"/>
      <c r="AM8" s="32" t="s">
        <v>84</v>
      </c>
      <c r="AN8" s="12" t="s">
        <v>85</v>
      </c>
      <c r="AO8" s="12"/>
      <c r="AP8" s="28"/>
      <c r="AQ8" s="12"/>
      <c r="AR8" s="24"/>
      <c r="AS8" s="24"/>
      <c r="AT8" s="24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23"/>
      <c r="BN8" s="12"/>
      <c r="BO8" s="12"/>
      <c r="BP8" s="12"/>
      <c r="BQ8" s="12"/>
      <c r="BR8" s="12"/>
      <c r="BS8" s="24"/>
      <c r="BT8" s="24"/>
      <c r="BU8" s="24"/>
      <c r="BV8" s="24"/>
      <c r="BW8" s="24"/>
      <c r="BX8" s="24"/>
      <c r="BY8" s="24"/>
    </row>
    <row r="9" spans="1:78" s="6" customFormat="1" ht="123.75" customHeight="1">
      <c r="A9" s="10"/>
      <c r="B9" s="11"/>
      <c r="C9" s="12"/>
      <c r="D9" s="12"/>
      <c r="E9" s="33"/>
      <c r="F9" s="33"/>
      <c r="G9" s="33"/>
      <c r="H9" s="12"/>
      <c r="I9" s="12"/>
      <c r="J9" s="12"/>
      <c r="K9" s="12"/>
      <c r="L9" s="12"/>
      <c r="M9" s="12"/>
      <c r="N9" s="12"/>
      <c r="O9" s="12"/>
      <c r="P9" s="12"/>
      <c r="Q9" s="12"/>
      <c r="R9" s="33"/>
      <c r="S9" s="33"/>
      <c r="T9" s="12"/>
      <c r="U9" s="33"/>
      <c r="V9" s="33"/>
      <c r="W9" s="33"/>
      <c r="X9" s="33"/>
      <c r="Y9" s="33"/>
      <c r="Z9" s="12"/>
      <c r="AA9" s="12"/>
      <c r="AB9" s="12"/>
      <c r="AC9" s="12"/>
      <c r="AD9" s="12"/>
      <c r="AE9" s="12"/>
      <c r="AF9" s="12"/>
      <c r="AG9" s="12"/>
      <c r="AH9" s="12"/>
      <c r="AI9" s="34"/>
      <c r="AJ9" s="35"/>
      <c r="AK9" s="12"/>
      <c r="AL9" s="34"/>
      <c r="AM9" s="36"/>
      <c r="AN9" s="12"/>
      <c r="AO9" s="12"/>
      <c r="AP9" s="28"/>
      <c r="AQ9" s="12"/>
      <c r="AR9" s="24"/>
      <c r="AS9" s="24"/>
      <c r="AT9" s="24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23"/>
      <c r="BN9" s="12"/>
      <c r="BO9" s="12"/>
      <c r="BP9" s="12"/>
      <c r="BQ9" s="12"/>
      <c r="BR9" s="12"/>
      <c r="BS9" s="24"/>
      <c r="BT9" s="24"/>
      <c r="BU9" s="24"/>
      <c r="BV9" s="24"/>
      <c r="BW9" s="24"/>
      <c r="BX9" s="24"/>
      <c r="BY9" s="33"/>
    </row>
    <row r="10" spans="1:78" ht="38.25">
      <c r="A10" s="37">
        <v>101001</v>
      </c>
      <c r="B10" s="38" t="s">
        <v>86</v>
      </c>
      <c r="C10" s="39">
        <f>D10+I10+H10</f>
        <v>24500</v>
      </c>
      <c r="D10" s="39">
        <f>23004+15</f>
        <v>23019</v>
      </c>
      <c r="E10" s="39"/>
      <c r="F10" s="39">
        <v>1674</v>
      </c>
      <c r="G10" s="39"/>
      <c r="H10" s="39">
        <f>896-15</f>
        <v>881</v>
      </c>
      <c r="I10" s="39">
        <v>600</v>
      </c>
      <c r="J10" s="39">
        <f>K10+O10</f>
        <v>2350</v>
      </c>
      <c r="K10" s="39">
        <v>2300</v>
      </c>
      <c r="L10" s="39">
        <v>1600</v>
      </c>
      <c r="M10" s="39"/>
      <c r="N10" s="39"/>
      <c r="O10" s="39">
        <v>50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>
        <v>115000</v>
      </c>
      <c r="AD10" s="39">
        <v>7000</v>
      </c>
      <c r="AE10" s="39">
        <f t="shared" ref="AE10:AE24" si="0">AF10+AG10+AH10+AI10+AL10</f>
        <v>57200</v>
      </c>
      <c r="AF10" s="39">
        <v>200</v>
      </c>
      <c r="AG10" s="39">
        <v>4000</v>
      </c>
      <c r="AH10" s="39"/>
      <c r="AI10" s="39"/>
      <c r="AJ10" s="39"/>
      <c r="AK10" s="39"/>
      <c r="AL10" s="39">
        <f>AM10+AN10</f>
        <v>53000</v>
      </c>
      <c r="AM10" s="39"/>
      <c r="AN10" s="39">
        <v>53000</v>
      </c>
      <c r="AO10" s="39"/>
      <c r="AP10" s="39"/>
      <c r="AQ10" s="39"/>
      <c r="AR10" s="39"/>
      <c r="AS10" s="39"/>
      <c r="AT10" s="39"/>
      <c r="AU10" s="39">
        <f>AV10+AW10</f>
        <v>0</v>
      </c>
      <c r="AV10" s="39"/>
      <c r="AW10" s="39"/>
      <c r="AX10" s="39">
        <f>AY10+AZ10+BA10</f>
        <v>50</v>
      </c>
      <c r="AY10" s="39"/>
      <c r="AZ10" s="39"/>
      <c r="BA10" s="39">
        <v>50</v>
      </c>
      <c r="BB10" s="39">
        <v>7500</v>
      </c>
      <c r="BC10" s="39">
        <v>6000</v>
      </c>
      <c r="BD10" s="39">
        <v>3000</v>
      </c>
      <c r="BE10" s="39">
        <v>2800</v>
      </c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40"/>
    </row>
    <row r="11" spans="1:78" ht="25.5">
      <c r="A11" s="37">
        <v>101002</v>
      </c>
      <c r="B11" s="38" t="s">
        <v>87</v>
      </c>
      <c r="C11" s="39">
        <f t="shared" ref="C11:C74" si="1">D11+I11+H11</f>
        <v>15098</v>
      </c>
      <c r="D11" s="39">
        <v>13187</v>
      </c>
      <c r="E11" s="41"/>
      <c r="F11" s="41"/>
      <c r="G11" s="41"/>
      <c r="H11" s="42">
        <f>213-2</f>
        <v>211</v>
      </c>
      <c r="I11" s="39">
        <v>1700</v>
      </c>
      <c r="J11" s="39">
        <f>K11+O11</f>
        <v>800</v>
      </c>
      <c r="K11" s="39"/>
      <c r="L11" s="41"/>
      <c r="M11" s="41"/>
      <c r="N11" s="41"/>
      <c r="O11" s="41">
        <v>800</v>
      </c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>
        <v>53200</v>
      </c>
      <c r="AD11" s="39">
        <v>1600</v>
      </c>
      <c r="AE11" s="39">
        <f t="shared" si="0"/>
        <v>341</v>
      </c>
      <c r="AF11" s="39">
        <v>300</v>
      </c>
      <c r="AG11" s="39"/>
      <c r="AH11" s="39"/>
      <c r="AI11" s="39"/>
      <c r="AJ11" s="39"/>
      <c r="AK11" s="39"/>
      <c r="AL11" s="39">
        <f t="shared" ref="AL11:AL71" si="2">AM11+AN11</f>
        <v>41</v>
      </c>
      <c r="AM11" s="39"/>
      <c r="AN11" s="43">
        <v>41</v>
      </c>
      <c r="AO11" s="43"/>
      <c r="AP11" s="39"/>
      <c r="AQ11" s="43"/>
      <c r="AR11" s="44"/>
      <c r="AS11" s="45"/>
      <c r="AT11" s="45"/>
      <c r="AU11" s="39"/>
      <c r="AV11" s="45"/>
      <c r="AW11" s="39"/>
      <c r="AX11" s="39"/>
      <c r="AY11" s="39"/>
      <c r="AZ11" s="39"/>
      <c r="BA11" s="39"/>
      <c r="BB11" s="39">
        <v>1200</v>
      </c>
      <c r="BC11" s="39">
        <v>2000</v>
      </c>
      <c r="BD11" s="39">
        <v>2500</v>
      </c>
      <c r="BE11" s="39">
        <v>900</v>
      </c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</row>
    <row r="12" spans="1:78" ht="38.25">
      <c r="A12" s="37">
        <v>101003</v>
      </c>
      <c r="B12" s="38" t="s">
        <v>88</v>
      </c>
      <c r="C12" s="39">
        <f t="shared" si="1"/>
        <v>5300</v>
      </c>
      <c r="D12" s="39">
        <v>3400</v>
      </c>
      <c r="E12" s="41"/>
      <c r="F12" s="41"/>
      <c r="G12" s="41"/>
      <c r="H12" s="39"/>
      <c r="I12" s="39">
        <v>1900</v>
      </c>
      <c r="J12" s="39">
        <f>K12+O12</f>
        <v>900</v>
      </c>
      <c r="K12" s="39">
        <v>600</v>
      </c>
      <c r="L12" s="41"/>
      <c r="M12" s="41"/>
      <c r="N12" s="41"/>
      <c r="O12" s="41">
        <v>300</v>
      </c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>
        <v>35860</v>
      </c>
      <c r="AD12" s="39">
        <v>900</v>
      </c>
      <c r="AE12" s="39">
        <f t="shared" si="0"/>
        <v>40400</v>
      </c>
      <c r="AF12" s="39">
        <v>40400</v>
      </c>
      <c r="AG12" s="39"/>
      <c r="AH12" s="39"/>
      <c r="AI12" s="39"/>
      <c r="AJ12" s="39"/>
      <c r="AK12" s="39"/>
      <c r="AL12" s="39"/>
      <c r="AM12" s="39"/>
      <c r="AN12" s="43"/>
      <c r="AO12" s="43">
        <v>200</v>
      </c>
      <c r="AP12" s="39"/>
      <c r="AQ12" s="43"/>
      <c r="AR12" s="44"/>
      <c r="AS12" s="45"/>
      <c r="AT12" s="45"/>
      <c r="AU12" s="39"/>
      <c r="AV12" s="45"/>
      <c r="AW12" s="39"/>
      <c r="AX12" s="39">
        <f t="shared" ref="AX12:AX73" si="3">AY12+AZ12+BA12</f>
        <v>350</v>
      </c>
      <c r="AY12" s="39"/>
      <c r="AZ12" s="39"/>
      <c r="BA12" s="39">
        <v>350</v>
      </c>
      <c r="BB12" s="39">
        <v>3000</v>
      </c>
      <c r="BC12" s="39"/>
      <c r="BD12" s="39">
        <v>1500</v>
      </c>
      <c r="BE12" s="39">
        <v>1200</v>
      </c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</row>
    <row r="13" spans="1:78" ht="25.5">
      <c r="A13" s="37">
        <v>101004</v>
      </c>
      <c r="B13" s="38" t="s">
        <v>89</v>
      </c>
      <c r="C13" s="39">
        <f t="shared" si="1"/>
        <v>570</v>
      </c>
      <c r="D13" s="39">
        <v>440</v>
      </c>
      <c r="E13" s="41">
        <v>70</v>
      </c>
      <c r="F13" s="41"/>
      <c r="G13" s="41">
        <f>40-1-24</f>
        <v>15</v>
      </c>
      <c r="H13" s="39">
        <v>130</v>
      </c>
      <c r="I13" s="39"/>
      <c r="J13" s="39">
        <f>K13+O13</f>
        <v>240</v>
      </c>
      <c r="K13" s="39">
        <v>240</v>
      </c>
      <c r="L13" s="41"/>
      <c r="M13" s="41"/>
      <c r="N13" s="41"/>
      <c r="O13" s="41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>
        <v>4800</v>
      </c>
      <c r="AD13" s="39"/>
      <c r="AE13" s="39">
        <f t="shared" si="0"/>
        <v>6420</v>
      </c>
      <c r="AF13" s="39">
        <v>3840</v>
      </c>
      <c r="AG13" s="39"/>
      <c r="AH13" s="39"/>
      <c r="AI13" s="39">
        <f>AK13+AJ13</f>
        <v>2580</v>
      </c>
      <c r="AJ13" s="39">
        <v>1440</v>
      </c>
      <c r="AK13" s="39">
        <v>1140</v>
      </c>
      <c r="AL13" s="39"/>
      <c r="AM13" s="39"/>
      <c r="AN13" s="43"/>
      <c r="AO13" s="43"/>
      <c r="AP13" s="39"/>
      <c r="AQ13" s="43"/>
      <c r="AR13" s="44"/>
      <c r="AS13" s="45"/>
      <c r="AT13" s="45"/>
      <c r="AU13" s="39"/>
      <c r="AV13" s="45"/>
      <c r="AW13" s="39"/>
      <c r="AX13" s="39"/>
      <c r="AY13" s="39"/>
      <c r="AZ13" s="39"/>
      <c r="BA13" s="39"/>
      <c r="BB13" s="39"/>
      <c r="BC13" s="39"/>
      <c r="BD13" s="39">
        <v>50</v>
      </c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</row>
    <row r="14" spans="1:78" ht="38.25">
      <c r="A14" s="37">
        <v>101201</v>
      </c>
      <c r="B14" s="38" t="s">
        <v>90</v>
      </c>
      <c r="C14" s="39">
        <f t="shared" si="1"/>
        <v>3650</v>
      </c>
      <c r="D14" s="42">
        <f>2190-50</f>
        <v>2140</v>
      </c>
      <c r="E14" s="41"/>
      <c r="F14" s="41"/>
      <c r="G14" s="41"/>
      <c r="H14" s="39">
        <v>10</v>
      </c>
      <c r="I14" s="39">
        <v>1500</v>
      </c>
      <c r="J14" s="39"/>
      <c r="K14" s="39"/>
      <c r="L14" s="41"/>
      <c r="M14" s="41"/>
      <c r="N14" s="41"/>
      <c r="O14" s="41"/>
      <c r="P14" s="39">
        <f>Q14+T14+Y14</f>
        <v>100</v>
      </c>
      <c r="Q14" s="39">
        <f t="shared" ref="Q14:Q73" si="4">R14+S14</f>
        <v>50</v>
      </c>
      <c r="R14" s="39">
        <v>50</v>
      </c>
      <c r="S14" s="39"/>
      <c r="T14" s="39">
        <f>U14+V14+W14+X14</f>
        <v>50</v>
      </c>
      <c r="U14" s="39">
        <v>50</v>
      </c>
      <c r="V14" s="39"/>
      <c r="W14" s="39"/>
      <c r="X14" s="39"/>
      <c r="Y14" s="39"/>
      <c r="Z14" s="39"/>
      <c r="AA14" s="39"/>
      <c r="AB14" s="39"/>
      <c r="AC14" s="39">
        <v>24000</v>
      </c>
      <c r="AD14" s="39"/>
      <c r="AE14" s="39">
        <f t="shared" si="0"/>
        <v>2110</v>
      </c>
      <c r="AF14" s="39">
        <v>2100</v>
      </c>
      <c r="AG14" s="39"/>
      <c r="AH14" s="39">
        <v>10</v>
      </c>
      <c r="AI14" s="39"/>
      <c r="AJ14" s="39"/>
      <c r="AK14" s="39"/>
      <c r="AL14" s="39"/>
      <c r="AM14" s="39"/>
      <c r="AN14" s="43"/>
      <c r="AO14" s="43"/>
      <c r="AP14" s="39"/>
      <c r="AQ14" s="43"/>
      <c r="AR14" s="44"/>
      <c r="AS14" s="45"/>
      <c r="AT14" s="45"/>
      <c r="AU14" s="39"/>
      <c r="AV14" s="45"/>
      <c r="AW14" s="39"/>
      <c r="AX14" s="39"/>
      <c r="AY14" s="39"/>
      <c r="AZ14" s="39"/>
      <c r="BA14" s="39"/>
      <c r="BB14" s="39">
        <v>100</v>
      </c>
      <c r="BC14" s="39"/>
      <c r="BD14" s="39">
        <v>200</v>
      </c>
      <c r="BE14" s="39">
        <v>100</v>
      </c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</row>
    <row r="15" spans="1:78" ht="38.25">
      <c r="A15" s="37">
        <v>101302</v>
      </c>
      <c r="B15" s="38" t="s">
        <v>91</v>
      </c>
      <c r="C15" s="39">
        <f t="shared" si="1"/>
        <v>4500</v>
      </c>
      <c r="D15" s="39">
        <v>4500</v>
      </c>
      <c r="E15" s="41"/>
      <c r="F15" s="41"/>
      <c r="G15" s="41"/>
      <c r="H15" s="39"/>
      <c r="I15" s="39"/>
      <c r="J15" s="39">
        <f t="shared" ref="J15:J20" si="5">K15+O15</f>
        <v>1700</v>
      </c>
      <c r="K15" s="39">
        <v>1700</v>
      </c>
      <c r="L15" s="41"/>
      <c r="M15" s="41"/>
      <c r="N15" s="41">
        <v>1257</v>
      </c>
      <c r="O15" s="41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>
        <v>400</v>
      </c>
      <c r="AD15" s="39">
        <v>1200</v>
      </c>
      <c r="AE15" s="39">
        <f t="shared" si="0"/>
        <v>0</v>
      </c>
      <c r="AF15" s="39"/>
      <c r="AG15" s="39"/>
      <c r="AH15" s="39"/>
      <c r="AI15" s="39"/>
      <c r="AJ15" s="39"/>
      <c r="AK15" s="39"/>
      <c r="AL15" s="39"/>
      <c r="AM15" s="39"/>
      <c r="AN15" s="43"/>
      <c r="AO15" s="43"/>
      <c r="AP15" s="39"/>
      <c r="AQ15" s="43"/>
      <c r="AR15" s="44"/>
      <c r="AS15" s="45"/>
      <c r="AT15" s="45"/>
      <c r="AU15" s="39"/>
      <c r="AV15" s="45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</row>
    <row r="16" spans="1:78" ht="38.25">
      <c r="A16" s="37">
        <v>101309</v>
      </c>
      <c r="B16" s="38" t="s">
        <v>92</v>
      </c>
      <c r="C16" s="39">
        <f t="shared" si="1"/>
        <v>3200</v>
      </c>
      <c r="D16" s="39">
        <v>3200</v>
      </c>
      <c r="E16" s="41"/>
      <c r="F16" s="41"/>
      <c r="G16" s="41"/>
      <c r="H16" s="39"/>
      <c r="I16" s="39"/>
      <c r="J16" s="39">
        <f t="shared" si="5"/>
        <v>640</v>
      </c>
      <c r="K16" s="39">
        <v>640</v>
      </c>
      <c r="L16" s="41"/>
      <c r="M16" s="41"/>
      <c r="N16" s="41">
        <v>640</v>
      </c>
      <c r="O16" s="41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>
        <v>800</v>
      </c>
      <c r="AE16" s="39">
        <f t="shared" si="0"/>
        <v>0</v>
      </c>
      <c r="AF16" s="39"/>
      <c r="AG16" s="39"/>
      <c r="AH16" s="39"/>
      <c r="AI16" s="39"/>
      <c r="AJ16" s="39"/>
      <c r="AK16" s="39"/>
      <c r="AL16" s="39"/>
      <c r="AM16" s="39"/>
      <c r="AN16" s="43"/>
      <c r="AO16" s="43"/>
      <c r="AP16" s="39"/>
      <c r="AQ16" s="43"/>
      <c r="AR16" s="44"/>
      <c r="AS16" s="45"/>
      <c r="AT16" s="45"/>
      <c r="AU16" s="39"/>
      <c r="AV16" s="45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</row>
    <row r="17" spans="1:77" ht="63.75">
      <c r="A17" s="37">
        <v>101801</v>
      </c>
      <c r="B17" s="38" t="s">
        <v>93</v>
      </c>
      <c r="C17" s="39">
        <f t="shared" si="1"/>
        <v>100</v>
      </c>
      <c r="D17" s="39">
        <v>100</v>
      </c>
      <c r="E17" s="41"/>
      <c r="F17" s="41"/>
      <c r="G17" s="41"/>
      <c r="H17" s="39"/>
      <c r="I17" s="39"/>
      <c r="J17" s="39">
        <f t="shared" si="5"/>
        <v>2000</v>
      </c>
      <c r="K17" s="39">
        <v>2000</v>
      </c>
      <c r="L17" s="41"/>
      <c r="M17" s="41"/>
      <c r="N17" s="41"/>
      <c r="O17" s="41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>
        <f t="shared" si="0"/>
        <v>2000</v>
      </c>
      <c r="AF17" s="39">
        <v>2000</v>
      </c>
      <c r="AG17" s="39"/>
      <c r="AH17" s="39"/>
      <c r="AI17" s="39"/>
      <c r="AJ17" s="39"/>
      <c r="AK17" s="39"/>
      <c r="AL17" s="39"/>
      <c r="AM17" s="39"/>
      <c r="AN17" s="43"/>
      <c r="AO17" s="43"/>
      <c r="AP17" s="39"/>
      <c r="AQ17" s="43"/>
      <c r="AR17" s="44"/>
      <c r="AS17" s="45"/>
      <c r="AT17" s="45"/>
      <c r="AU17" s="39"/>
      <c r="AV17" s="45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</row>
    <row r="18" spans="1:77" ht="38.25">
      <c r="A18" s="37">
        <v>102604</v>
      </c>
      <c r="B18" s="38" t="s">
        <v>94</v>
      </c>
      <c r="C18" s="39">
        <f t="shared" si="1"/>
        <v>1000</v>
      </c>
      <c r="D18" s="39">
        <v>970</v>
      </c>
      <c r="E18" s="41"/>
      <c r="F18" s="41"/>
      <c r="G18" s="41"/>
      <c r="H18" s="39">
        <v>30</v>
      </c>
      <c r="I18" s="39"/>
      <c r="J18" s="39">
        <f t="shared" si="5"/>
        <v>5000</v>
      </c>
      <c r="K18" s="39">
        <v>5000</v>
      </c>
      <c r="L18" s="41"/>
      <c r="M18" s="41"/>
      <c r="N18" s="41"/>
      <c r="O18" s="41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>
        <v>120500</v>
      </c>
      <c r="AD18" s="39"/>
      <c r="AE18" s="39">
        <f t="shared" si="0"/>
        <v>83300</v>
      </c>
      <c r="AF18" s="39">
        <v>83300</v>
      </c>
      <c r="AG18" s="39"/>
      <c r="AH18" s="39"/>
      <c r="AI18" s="39"/>
      <c r="AJ18" s="39"/>
      <c r="AK18" s="39"/>
      <c r="AL18" s="39"/>
      <c r="AM18" s="39"/>
      <c r="AN18" s="43"/>
      <c r="AO18" s="43"/>
      <c r="AP18" s="39"/>
      <c r="AQ18" s="43"/>
      <c r="AR18" s="44"/>
      <c r="AS18" s="45"/>
      <c r="AT18" s="45"/>
      <c r="AU18" s="39"/>
      <c r="AV18" s="45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</row>
    <row r="19" spans="1:77" ht="38.25">
      <c r="A19" s="37">
        <v>103001</v>
      </c>
      <c r="B19" s="38" t="s">
        <v>95</v>
      </c>
      <c r="C19" s="39">
        <f t="shared" si="1"/>
        <v>28280</v>
      </c>
      <c r="D19" s="42">
        <f>25860-4</f>
        <v>25856</v>
      </c>
      <c r="E19" s="41">
        <v>21630</v>
      </c>
      <c r="F19" s="41"/>
      <c r="G19" s="41"/>
      <c r="H19" s="42">
        <f>1770+4</f>
        <v>1774</v>
      </c>
      <c r="I19" s="39">
        <v>650</v>
      </c>
      <c r="J19" s="39">
        <f t="shared" si="5"/>
        <v>19960</v>
      </c>
      <c r="K19" s="39">
        <v>19600</v>
      </c>
      <c r="L19" s="41">
        <v>17400</v>
      </c>
      <c r="M19" s="41"/>
      <c r="N19" s="41"/>
      <c r="O19" s="41">
        <v>360</v>
      </c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>
        <v>125000</v>
      </c>
      <c r="AD19" s="39"/>
      <c r="AE19" s="39">
        <f t="shared" si="0"/>
        <v>18320</v>
      </c>
      <c r="AF19" s="39">
        <v>14300</v>
      </c>
      <c r="AG19" s="39">
        <v>4000</v>
      </c>
      <c r="AH19" s="39"/>
      <c r="AI19" s="39"/>
      <c r="AJ19" s="39"/>
      <c r="AK19" s="39"/>
      <c r="AL19" s="39">
        <f t="shared" si="2"/>
        <v>20</v>
      </c>
      <c r="AM19" s="39"/>
      <c r="AN19" s="43">
        <v>20</v>
      </c>
      <c r="AO19" s="43">
        <v>800</v>
      </c>
      <c r="AP19" s="39">
        <f t="shared" ref="AP19" si="6">AQ19+AR19+AS19+AT19</f>
        <v>2368</v>
      </c>
      <c r="AQ19" s="43">
        <v>2368</v>
      </c>
      <c r="AR19" s="44"/>
      <c r="AS19" s="45"/>
      <c r="AT19" s="45"/>
      <c r="AU19" s="39"/>
      <c r="AV19" s="45"/>
      <c r="AW19" s="39"/>
      <c r="AX19" s="39"/>
      <c r="AY19" s="39"/>
      <c r="AZ19" s="39"/>
      <c r="BA19" s="39"/>
      <c r="BB19" s="39">
        <v>14000</v>
      </c>
      <c r="BC19" s="39">
        <v>7200</v>
      </c>
      <c r="BD19" s="39">
        <v>3000</v>
      </c>
      <c r="BE19" s="39">
        <v>6500</v>
      </c>
      <c r="BF19" s="39">
        <v>3200</v>
      </c>
      <c r="BG19" s="39">
        <v>26700</v>
      </c>
      <c r="BH19" s="39">
        <v>7700</v>
      </c>
      <c r="BI19" s="39"/>
      <c r="BJ19" s="39"/>
      <c r="BK19" s="39"/>
      <c r="BL19" s="39"/>
      <c r="BM19" s="39">
        <v>45000</v>
      </c>
      <c r="BN19" s="39"/>
      <c r="BO19" s="39"/>
      <c r="BP19" s="39">
        <f>360+300</f>
        <v>660</v>
      </c>
      <c r="BQ19" s="39">
        <f>60+50</f>
        <v>110</v>
      </c>
      <c r="BR19" s="39"/>
      <c r="BS19" s="39"/>
      <c r="BT19" s="39"/>
      <c r="BU19" s="39"/>
      <c r="BV19" s="39"/>
      <c r="BW19" s="39"/>
      <c r="BX19" s="39"/>
      <c r="BY19" s="39"/>
    </row>
    <row r="20" spans="1:77" ht="38.25">
      <c r="A20" s="37">
        <v>104001</v>
      </c>
      <c r="B20" s="38" t="s">
        <v>96</v>
      </c>
      <c r="C20" s="39">
        <f t="shared" si="1"/>
        <v>0</v>
      </c>
      <c r="D20" s="39"/>
      <c r="E20" s="41"/>
      <c r="F20" s="41"/>
      <c r="G20" s="41"/>
      <c r="H20" s="39"/>
      <c r="I20" s="39"/>
      <c r="J20" s="39">
        <f t="shared" si="5"/>
        <v>360</v>
      </c>
      <c r="K20" s="39"/>
      <c r="L20" s="41"/>
      <c r="M20" s="41"/>
      <c r="N20" s="41"/>
      <c r="O20" s="41">
        <v>360</v>
      </c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>
        <v>27980</v>
      </c>
      <c r="AD20" s="39"/>
      <c r="AE20" s="39">
        <f t="shared" si="0"/>
        <v>28670</v>
      </c>
      <c r="AF20" s="39">
        <v>28670</v>
      </c>
      <c r="AG20" s="39"/>
      <c r="AH20" s="39"/>
      <c r="AI20" s="39"/>
      <c r="AJ20" s="39"/>
      <c r="AK20" s="39"/>
      <c r="AL20" s="39"/>
      <c r="AM20" s="39"/>
      <c r="AN20" s="43"/>
      <c r="AO20" s="46">
        <f>5000+2200</f>
        <v>7200</v>
      </c>
      <c r="AP20" s="39"/>
      <c r="AQ20" s="43"/>
      <c r="AR20" s="44"/>
      <c r="AS20" s="45"/>
      <c r="AT20" s="45"/>
      <c r="AU20" s="39"/>
      <c r="AV20" s="45"/>
      <c r="AW20" s="39"/>
      <c r="AX20" s="39"/>
      <c r="AY20" s="39"/>
      <c r="AZ20" s="39"/>
      <c r="BA20" s="39"/>
      <c r="BB20" s="39"/>
      <c r="BC20" s="39"/>
      <c r="BD20" s="39">
        <v>500</v>
      </c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</row>
    <row r="21" spans="1:77" ht="38.25">
      <c r="A21" s="37">
        <v>104401</v>
      </c>
      <c r="B21" s="38" t="s">
        <v>97</v>
      </c>
      <c r="C21" s="39">
        <f t="shared" si="1"/>
        <v>6900</v>
      </c>
      <c r="D21" s="39">
        <v>4853</v>
      </c>
      <c r="E21" s="41"/>
      <c r="F21" s="41">
        <v>3241</v>
      </c>
      <c r="G21" s="41"/>
      <c r="H21" s="39">
        <v>1247</v>
      </c>
      <c r="I21" s="39">
        <v>800</v>
      </c>
      <c r="J21" s="39"/>
      <c r="K21" s="39"/>
      <c r="L21" s="41"/>
      <c r="M21" s="41"/>
      <c r="N21" s="41"/>
      <c r="O21" s="41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>
        <v>96000</v>
      </c>
      <c r="AD21" s="39"/>
      <c r="AE21" s="39">
        <f t="shared" si="0"/>
        <v>1370</v>
      </c>
      <c r="AF21" s="39">
        <v>370</v>
      </c>
      <c r="AG21" s="39"/>
      <c r="AH21" s="39"/>
      <c r="AI21" s="39"/>
      <c r="AJ21" s="39"/>
      <c r="AK21" s="39"/>
      <c r="AL21" s="39">
        <f t="shared" si="2"/>
        <v>1000</v>
      </c>
      <c r="AM21" s="39"/>
      <c r="AN21" s="43">
        <v>1000</v>
      </c>
      <c r="AO21" s="43"/>
      <c r="AP21" s="39"/>
      <c r="AQ21" s="43"/>
      <c r="AR21" s="44"/>
      <c r="AS21" s="45"/>
      <c r="AT21" s="45"/>
      <c r="AU21" s="39">
        <f t="shared" ref="AU21:AU71" si="7">AV21+AW21</f>
        <v>0</v>
      </c>
      <c r="AV21" s="45"/>
      <c r="AW21" s="39"/>
      <c r="AX21" s="39"/>
      <c r="AY21" s="39"/>
      <c r="AZ21" s="39"/>
      <c r="BA21" s="39"/>
      <c r="BB21" s="39">
        <v>1500</v>
      </c>
      <c r="BC21" s="39">
        <v>2000</v>
      </c>
      <c r="BD21" s="39">
        <v>25000</v>
      </c>
      <c r="BE21" s="39">
        <v>100</v>
      </c>
      <c r="BF21" s="39"/>
      <c r="BG21" s="39"/>
      <c r="BH21" s="39">
        <v>500</v>
      </c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</row>
    <row r="22" spans="1:77" ht="38.25">
      <c r="A22" s="37">
        <v>105301</v>
      </c>
      <c r="B22" s="38" t="s">
        <v>98</v>
      </c>
      <c r="C22" s="39">
        <f t="shared" si="1"/>
        <v>0</v>
      </c>
      <c r="D22" s="39"/>
      <c r="E22" s="41"/>
      <c r="F22" s="41"/>
      <c r="G22" s="41"/>
      <c r="H22" s="39"/>
      <c r="I22" s="39"/>
      <c r="J22" s="39"/>
      <c r="K22" s="39"/>
      <c r="L22" s="41"/>
      <c r="M22" s="41"/>
      <c r="N22" s="41"/>
      <c r="O22" s="41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>
        <v>99500</v>
      </c>
      <c r="AD22" s="39">
        <v>9500</v>
      </c>
      <c r="AE22" s="39">
        <f t="shared" si="0"/>
        <v>23330</v>
      </c>
      <c r="AF22" s="39">
        <v>23330</v>
      </c>
      <c r="AG22" s="39"/>
      <c r="AH22" s="39"/>
      <c r="AI22" s="39"/>
      <c r="AJ22" s="39"/>
      <c r="AK22" s="39"/>
      <c r="AL22" s="39"/>
      <c r="AM22" s="39"/>
      <c r="AN22" s="43"/>
      <c r="AO22" s="43"/>
      <c r="AP22" s="39"/>
      <c r="AQ22" s="43"/>
      <c r="AR22" s="44"/>
      <c r="AS22" s="45"/>
      <c r="AT22" s="45"/>
      <c r="AU22" s="39"/>
      <c r="AV22" s="45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</row>
    <row r="23" spans="1:77" ht="38.25">
      <c r="A23" s="37">
        <v>106001</v>
      </c>
      <c r="B23" s="38" t="s">
        <v>99</v>
      </c>
      <c r="C23" s="39">
        <f t="shared" si="1"/>
        <v>3500</v>
      </c>
      <c r="D23" s="39">
        <v>3380</v>
      </c>
      <c r="E23" s="41"/>
      <c r="F23" s="41"/>
      <c r="G23" s="41"/>
      <c r="H23" s="39">
        <v>120</v>
      </c>
      <c r="I23" s="39"/>
      <c r="J23" s="39"/>
      <c r="K23" s="39"/>
      <c r="L23" s="41"/>
      <c r="M23" s="41"/>
      <c r="N23" s="41"/>
      <c r="O23" s="41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>
        <v>5000</v>
      </c>
      <c r="AD23" s="39">
        <v>350</v>
      </c>
      <c r="AE23" s="39">
        <f t="shared" si="0"/>
        <v>29</v>
      </c>
      <c r="AF23" s="39"/>
      <c r="AG23" s="39"/>
      <c r="AH23" s="39"/>
      <c r="AI23" s="39"/>
      <c r="AJ23" s="39"/>
      <c r="AK23" s="39"/>
      <c r="AL23" s="39">
        <f t="shared" si="2"/>
        <v>29</v>
      </c>
      <c r="AM23" s="39"/>
      <c r="AN23" s="43">
        <v>29</v>
      </c>
      <c r="AO23" s="43"/>
      <c r="AP23" s="39"/>
      <c r="AQ23" s="43"/>
      <c r="AR23" s="44"/>
      <c r="AS23" s="45"/>
      <c r="AT23" s="45"/>
      <c r="AU23" s="39"/>
      <c r="AV23" s="45"/>
      <c r="AW23" s="39"/>
      <c r="AX23" s="39"/>
      <c r="AY23" s="39"/>
      <c r="AZ23" s="39"/>
      <c r="BA23" s="39"/>
      <c r="BB23" s="39"/>
      <c r="BC23" s="39"/>
      <c r="BD23" s="39">
        <v>100</v>
      </c>
      <c r="BE23" s="39"/>
      <c r="BF23" s="39"/>
      <c r="BG23" s="39"/>
      <c r="BH23" s="39"/>
      <c r="BI23" s="39"/>
      <c r="BJ23" s="39"/>
      <c r="BK23" s="39"/>
      <c r="BL23" s="39"/>
      <c r="BM23" s="39"/>
      <c r="BN23" s="39">
        <v>4700</v>
      </c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</row>
    <row r="24" spans="1:77" ht="38.25">
      <c r="A24" s="37">
        <v>106002</v>
      </c>
      <c r="B24" s="38" t="s">
        <v>100</v>
      </c>
      <c r="C24" s="39">
        <f t="shared" si="1"/>
        <v>5800</v>
      </c>
      <c r="D24" s="39">
        <v>5664</v>
      </c>
      <c r="E24" s="41"/>
      <c r="F24" s="41"/>
      <c r="G24" s="41"/>
      <c r="H24" s="39">
        <v>136</v>
      </c>
      <c r="I24" s="39"/>
      <c r="J24" s="39">
        <f>K24+O24</f>
        <v>300</v>
      </c>
      <c r="K24" s="39">
        <v>300</v>
      </c>
      <c r="L24" s="41"/>
      <c r="M24" s="41"/>
      <c r="N24" s="41"/>
      <c r="O24" s="41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>
        <v>18900</v>
      </c>
      <c r="AD24" s="39">
        <v>1300</v>
      </c>
      <c r="AE24" s="39">
        <f t="shared" si="0"/>
        <v>275</v>
      </c>
      <c r="AF24" s="39">
        <v>100</v>
      </c>
      <c r="AG24" s="39"/>
      <c r="AH24" s="39"/>
      <c r="AI24" s="39"/>
      <c r="AJ24" s="39"/>
      <c r="AK24" s="39"/>
      <c r="AL24" s="39">
        <f t="shared" si="2"/>
        <v>175</v>
      </c>
      <c r="AM24" s="39"/>
      <c r="AN24" s="43">
        <v>175</v>
      </c>
      <c r="AO24" s="43"/>
      <c r="AP24" s="39"/>
      <c r="AQ24" s="43"/>
      <c r="AR24" s="44"/>
      <c r="AS24" s="44"/>
      <c r="AT24" s="44"/>
      <c r="AU24" s="39"/>
      <c r="AV24" s="44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42">
        <f>1405-1405</f>
        <v>0</v>
      </c>
      <c r="BK24" s="39"/>
      <c r="BL24" s="39"/>
      <c r="BM24" s="39"/>
      <c r="BN24" s="39">
        <v>7500</v>
      </c>
      <c r="BO24" s="39">
        <v>1600</v>
      </c>
      <c r="BP24" s="39"/>
      <c r="BQ24" s="39"/>
      <c r="BR24" s="39"/>
      <c r="BS24" s="39"/>
      <c r="BT24" s="39"/>
      <c r="BU24" s="39"/>
      <c r="BV24" s="39"/>
      <c r="BW24" s="39"/>
      <c r="BX24" s="39"/>
      <c r="BY24" s="39"/>
    </row>
    <row r="25" spans="1:77" ht="25.5">
      <c r="A25" s="37">
        <v>111008</v>
      </c>
      <c r="B25" s="38" t="s">
        <v>101</v>
      </c>
      <c r="C25" s="39">
        <f t="shared" si="1"/>
        <v>7050</v>
      </c>
      <c r="D25" s="39">
        <v>6250</v>
      </c>
      <c r="E25" s="41"/>
      <c r="F25" s="41"/>
      <c r="G25" s="41"/>
      <c r="H25" s="39"/>
      <c r="I25" s="39">
        <v>800</v>
      </c>
      <c r="J25" s="39">
        <f>K25+O25</f>
        <v>2800</v>
      </c>
      <c r="K25" s="39">
        <v>2100</v>
      </c>
      <c r="L25" s="41"/>
      <c r="M25" s="41"/>
      <c r="N25" s="41"/>
      <c r="O25" s="41">
        <v>700</v>
      </c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43"/>
      <c r="AO25" s="43"/>
      <c r="AP25" s="39"/>
      <c r="AQ25" s="43"/>
      <c r="AR25" s="44"/>
      <c r="AS25" s="44"/>
      <c r="AT25" s="44"/>
      <c r="AU25" s="39"/>
      <c r="AV25" s="44"/>
      <c r="AW25" s="39"/>
      <c r="AX25" s="39"/>
      <c r="AY25" s="39"/>
      <c r="AZ25" s="39"/>
      <c r="BA25" s="39"/>
      <c r="BB25" s="39">
        <v>1900</v>
      </c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7" ht="25.5">
      <c r="A26" s="37">
        <v>114504</v>
      </c>
      <c r="B26" s="38" t="s">
        <v>102</v>
      </c>
      <c r="C26" s="39">
        <f t="shared" si="1"/>
        <v>0</v>
      </c>
      <c r="D26" s="39"/>
      <c r="E26" s="41"/>
      <c r="F26" s="41"/>
      <c r="G26" s="41"/>
      <c r="H26" s="39"/>
      <c r="I26" s="39"/>
      <c r="J26" s="39">
        <f>K26+O26</f>
        <v>4400</v>
      </c>
      <c r="K26" s="39">
        <v>4400</v>
      </c>
      <c r="L26" s="41">
        <v>1400</v>
      </c>
      <c r="M26" s="41"/>
      <c r="N26" s="41"/>
      <c r="O26" s="41"/>
      <c r="P26" s="39">
        <f>Q26+T26+Y26</f>
        <v>46305</v>
      </c>
      <c r="Q26" s="39">
        <f t="shared" si="4"/>
        <v>6551</v>
      </c>
      <c r="R26" s="39">
        <v>6551</v>
      </c>
      <c r="S26" s="39"/>
      <c r="T26" s="39">
        <f>U26+V26+W26+X26</f>
        <v>28746</v>
      </c>
      <c r="U26" s="39">
        <f>28673+2</f>
        <v>28675</v>
      </c>
      <c r="V26" s="39">
        <v>71</v>
      </c>
      <c r="W26" s="39"/>
      <c r="X26" s="39"/>
      <c r="Y26" s="39">
        <f t="shared" ref="Y26:Y71" si="8">Z26+AA26</f>
        <v>11008</v>
      </c>
      <c r="Z26" s="39">
        <v>5965</v>
      </c>
      <c r="AA26" s="39">
        <v>5043</v>
      </c>
      <c r="AB26" s="39">
        <v>4170</v>
      </c>
      <c r="AC26" s="39">
        <v>75440</v>
      </c>
      <c r="AD26" s="39">
        <v>37870</v>
      </c>
      <c r="AE26" s="39">
        <f t="shared" ref="AE26:AE33" si="9">AF26+AG26+AH26+AI26+AL26</f>
        <v>58255</v>
      </c>
      <c r="AF26" s="39">
        <v>40640</v>
      </c>
      <c r="AG26" s="39">
        <v>4000</v>
      </c>
      <c r="AH26" s="39">
        <v>8745</v>
      </c>
      <c r="AI26" s="39"/>
      <c r="AJ26" s="39"/>
      <c r="AK26" s="39"/>
      <c r="AL26" s="39">
        <f t="shared" si="2"/>
        <v>4870</v>
      </c>
      <c r="AM26" s="39">
        <v>4870</v>
      </c>
      <c r="AN26" s="43"/>
      <c r="AO26" s="43"/>
      <c r="AP26" s="39">
        <f>AQ26+AR26+AS26+AT26</f>
        <v>20299</v>
      </c>
      <c r="AQ26" s="43">
        <v>3319</v>
      </c>
      <c r="AR26" s="44">
        <v>4406</v>
      </c>
      <c r="AS26" s="44">
        <v>10240</v>
      </c>
      <c r="AT26" s="44">
        <v>2334</v>
      </c>
      <c r="AU26" s="39">
        <f t="shared" si="7"/>
        <v>2027</v>
      </c>
      <c r="AV26" s="44">
        <f>60+158+502</f>
        <v>720</v>
      </c>
      <c r="AW26" s="39">
        <v>1307</v>
      </c>
      <c r="AX26" s="39">
        <f t="shared" si="3"/>
        <v>12675</v>
      </c>
      <c r="AY26" s="39">
        <f>12075-137</f>
        <v>11938</v>
      </c>
      <c r="AZ26" s="39">
        <v>137</v>
      </c>
      <c r="BA26" s="39">
        <v>600</v>
      </c>
      <c r="BB26" s="39">
        <v>3800</v>
      </c>
      <c r="BC26" s="39">
        <v>3000</v>
      </c>
      <c r="BD26" s="39">
        <v>11000</v>
      </c>
      <c r="BE26" s="39">
        <v>3000</v>
      </c>
      <c r="BF26" s="39"/>
      <c r="BG26" s="39"/>
      <c r="BH26" s="39"/>
      <c r="BI26" s="39"/>
      <c r="BJ26" s="39"/>
      <c r="BK26" s="39"/>
      <c r="BL26" s="39">
        <v>50</v>
      </c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</row>
    <row r="27" spans="1:77" ht="25.5">
      <c r="A27" s="37">
        <v>115309</v>
      </c>
      <c r="B27" s="38" t="s">
        <v>103</v>
      </c>
      <c r="C27" s="39">
        <f t="shared" si="1"/>
        <v>0</v>
      </c>
      <c r="D27" s="39"/>
      <c r="E27" s="41"/>
      <c r="F27" s="41"/>
      <c r="G27" s="41"/>
      <c r="H27" s="39"/>
      <c r="I27" s="39"/>
      <c r="J27" s="39"/>
      <c r="K27" s="39"/>
      <c r="L27" s="41"/>
      <c r="M27" s="41"/>
      <c r="N27" s="41"/>
      <c r="O27" s="41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>
        <v>46980</v>
      </c>
      <c r="AD27" s="39">
        <v>10260</v>
      </c>
      <c r="AE27" s="39">
        <f t="shared" si="9"/>
        <v>20430</v>
      </c>
      <c r="AF27" s="39">
        <v>20430</v>
      </c>
      <c r="AG27" s="39"/>
      <c r="AH27" s="39"/>
      <c r="AI27" s="39"/>
      <c r="AJ27" s="39"/>
      <c r="AK27" s="39"/>
      <c r="AL27" s="39"/>
      <c r="AM27" s="39"/>
      <c r="AN27" s="43"/>
      <c r="AO27" s="43"/>
      <c r="AP27" s="39"/>
      <c r="AQ27" s="43"/>
      <c r="AR27" s="44"/>
      <c r="AS27" s="44"/>
      <c r="AT27" s="44"/>
      <c r="AU27" s="39"/>
      <c r="AV27" s="44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</row>
    <row r="28" spans="1:77" ht="25.5">
      <c r="A28" s="37">
        <v>115506</v>
      </c>
      <c r="B28" s="38" t="s">
        <v>104</v>
      </c>
      <c r="C28" s="39">
        <f t="shared" si="1"/>
        <v>0</v>
      </c>
      <c r="D28" s="39"/>
      <c r="E28" s="41"/>
      <c r="F28" s="41"/>
      <c r="G28" s="41"/>
      <c r="H28" s="39"/>
      <c r="I28" s="39"/>
      <c r="J28" s="39">
        <f>K28+O28</f>
        <v>650</v>
      </c>
      <c r="K28" s="39">
        <v>650</v>
      </c>
      <c r="L28" s="41"/>
      <c r="M28" s="41"/>
      <c r="N28" s="41"/>
      <c r="O28" s="41"/>
      <c r="P28" s="39">
        <f>Q28+T28+Y28</f>
        <v>15980</v>
      </c>
      <c r="Q28" s="39">
        <f t="shared" si="4"/>
        <v>15766</v>
      </c>
      <c r="R28" s="39"/>
      <c r="S28" s="39">
        <v>15766</v>
      </c>
      <c r="T28" s="39">
        <f>U28+V28+W28+X28</f>
        <v>214</v>
      </c>
      <c r="U28" s="39"/>
      <c r="V28" s="39"/>
      <c r="W28" s="39">
        <v>87</v>
      </c>
      <c r="X28" s="39">
        <v>127</v>
      </c>
      <c r="Y28" s="39"/>
      <c r="Z28" s="39"/>
      <c r="AA28" s="39"/>
      <c r="AB28" s="39"/>
      <c r="AC28" s="39">
        <v>74700</v>
      </c>
      <c r="AD28" s="39">
        <v>9400</v>
      </c>
      <c r="AE28" s="39">
        <f t="shared" si="9"/>
        <v>26430</v>
      </c>
      <c r="AF28" s="39">
        <v>25000</v>
      </c>
      <c r="AG28" s="39"/>
      <c r="AH28" s="39"/>
      <c r="AI28" s="39"/>
      <c r="AJ28" s="39"/>
      <c r="AK28" s="39"/>
      <c r="AL28" s="39">
        <f t="shared" si="2"/>
        <v>1430</v>
      </c>
      <c r="AM28" s="39">
        <v>1430</v>
      </c>
      <c r="AN28" s="43"/>
      <c r="AO28" s="43"/>
      <c r="AP28" s="39"/>
      <c r="AQ28" s="43"/>
      <c r="AR28" s="44"/>
      <c r="AS28" s="44"/>
      <c r="AT28" s="44"/>
      <c r="AU28" s="39"/>
      <c r="AV28" s="44"/>
      <c r="AW28" s="39"/>
      <c r="AX28" s="39">
        <f t="shared" si="3"/>
        <v>3767</v>
      </c>
      <c r="AY28" s="39">
        <v>3767</v>
      </c>
      <c r="AZ28" s="39"/>
      <c r="BA28" s="39"/>
      <c r="BB28" s="39"/>
      <c r="BC28" s="39"/>
      <c r="BD28" s="39">
        <v>500</v>
      </c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</row>
    <row r="29" spans="1:77" ht="25.5">
      <c r="A29" s="37">
        <v>121125</v>
      </c>
      <c r="B29" s="38" t="s">
        <v>105</v>
      </c>
      <c r="C29" s="39">
        <f t="shared" si="1"/>
        <v>26000</v>
      </c>
      <c r="D29" s="42">
        <f>24583+1000</f>
        <v>25583</v>
      </c>
      <c r="E29" s="41"/>
      <c r="F29" s="41">
        <v>1233</v>
      </c>
      <c r="G29" s="41"/>
      <c r="H29" s="39">
        <v>417</v>
      </c>
      <c r="I29" s="39"/>
      <c r="J29" s="39">
        <f>K29+O29</f>
        <v>1200</v>
      </c>
      <c r="K29" s="39">
        <v>1200</v>
      </c>
      <c r="L29" s="41"/>
      <c r="M29" s="41"/>
      <c r="N29" s="41"/>
      <c r="O29" s="41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42">
        <v>3410</v>
      </c>
      <c r="AE29" s="39">
        <f t="shared" si="9"/>
        <v>0</v>
      </c>
      <c r="AF29" s="39"/>
      <c r="AG29" s="39"/>
      <c r="AH29" s="39"/>
      <c r="AI29" s="39"/>
      <c r="AJ29" s="39"/>
      <c r="AK29" s="39"/>
      <c r="AL29" s="39"/>
      <c r="AM29" s="39"/>
      <c r="AN29" s="43"/>
      <c r="AO29" s="43"/>
      <c r="AP29" s="39"/>
      <c r="AQ29" s="43"/>
      <c r="AR29" s="44"/>
      <c r="AS29" s="44"/>
      <c r="AT29" s="44"/>
      <c r="AU29" s="39"/>
      <c r="AV29" s="44"/>
      <c r="AW29" s="39"/>
      <c r="AX29" s="39"/>
      <c r="AY29" s="39"/>
      <c r="AZ29" s="39"/>
      <c r="BA29" s="39"/>
      <c r="BB29" s="39">
        <v>15000</v>
      </c>
      <c r="BC29" s="39">
        <v>1500</v>
      </c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</row>
    <row r="30" spans="1:77" ht="25.5">
      <c r="A30" s="37">
        <v>124528</v>
      </c>
      <c r="B30" s="38" t="s">
        <v>106</v>
      </c>
      <c r="C30" s="39">
        <f t="shared" si="1"/>
        <v>0</v>
      </c>
      <c r="D30" s="39"/>
      <c r="E30" s="41"/>
      <c r="F30" s="41"/>
      <c r="G30" s="41"/>
      <c r="H30" s="39"/>
      <c r="I30" s="39"/>
      <c r="J30" s="39">
        <f>K30+O30</f>
        <v>2100</v>
      </c>
      <c r="K30" s="39">
        <v>1800</v>
      </c>
      <c r="L30" s="41">
        <v>1300</v>
      </c>
      <c r="M30" s="41"/>
      <c r="N30" s="41"/>
      <c r="O30" s="41">
        <v>300</v>
      </c>
      <c r="P30" s="39">
        <f>Q30+T30+Y30</f>
        <v>95926</v>
      </c>
      <c r="Q30" s="39">
        <f t="shared" si="4"/>
        <v>29215</v>
      </c>
      <c r="R30" s="39">
        <v>11714</v>
      </c>
      <c r="S30" s="39">
        <v>17501</v>
      </c>
      <c r="T30" s="39">
        <f>U30+V30+W30+X30</f>
        <v>47253</v>
      </c>
      <c r="U30" s="39">
        <f>47002+5</f>
        <v>47007</v>
      </c>
      <c r="V30" s="39">
        <v>154</v>
      </c>
      <c r="W30" s="39">
        <v>92</v>
      </c>
      <c r="X30" s="39"/>
      <c r="Y30" s="39">
        <f t="shared" si="8"/>
        <v>19458</v>
      </c>
      <c r="Z30" s="39">
        <v>10584</v>
      </c>
      <c r="AA30" s="39">
        <v>8874</v>
      </c>
      <c r="AB30" s="39">
        <v>4470</v>
      </c>
      <c r="AC30" s="39">
        <v>206690</v>
      </c>
      <c r="AD30" s="39">
        <v>48300</v>
      </c>
      <c r="AE30" s="39">
        <f t="shared" si="9"/>
        <v>113117</v>
      </c>
      <c r="AF30" s="39">
        <v>84760</v>
      </c>
      <c r="AG30" s="39">
        <v>4000</v>
      </c>
      <c r="AH30" s="39">
        <v>14637</v>
      </c>
      <c r="AI30" s="39"/>
      <c r="AJ30" s="39"/>
      <c r="AK30" s="39"/>
      <c r="AL30" s="39">
        <f t="shared" si="2"/>
        <v>9720</v>
      </c>
      <c r="AM30" s="39">
        <v>9720</v>
      </c>
      <c r="AN30" s="43"/>
      <c r="AO30" s="43">
        <v>200</v>
      </c>
      <c r="AP30" s="39">
        <f t="shared" ref="AP30:AP31" si="10">AQ30+AR30+AS30+AT30</f>
        <v>34310</v>
      </c>
      <c r="AQ30" s="43">
        <v>5610</v>
      </c>
      <c r="AR30" s="44">
        <v>7447</v>
      </c>
      <c r="AS30" s="44">
        <v>17308</v>
      </c>
      <c r="AT30" s="44">
        <v>3945</v>
      </c>
      <c r="AU30" s="39">
        <f t="shared" si="7"/>
        <v>2451</v>
      </c>
      <c r="AV30" s="44">
        <f>50+131+419</f>
        <v>600</v>
      </c>
      <c r="AW30" s="39">
        <v>1851</v>
      </c>
      <c r="AX30" s="39">
        <f t="shared" si="3"/>
        <v>24231</v>
      </c>
      <c r="AY30" s="39">
        <f>24574-343</f>
        <v>24231</v>
      </c>
      <c r="AZ30" s="39"/>
      <c r="BA30" s="39"/>
      <c r="BB30" s="39">
        <v>5500</v>
      </c>
      <c r="BC30" s="39">
        <v>1500</v>
      </c>
      <c r="BD30" s="39">
        <v>15000</v>
      </c>
      <c r="BE30" s="39">
        <v>6500</v>
      </c>
      <c r="BF30" s="39"/>
      <c r="BG30" s="39"/>
      <c r="BH30" s="39"/>
      <c r="BI30" s="39"/>
      <c r="BJ30" s="39"/>
      <c r="BK30" s="39"/>
      <c r="BL30" s="39">
        <v>75</v>
      </c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</row>
    <row r="31" spans="1:77" ht="25.5">
      <c r="A31" s="37">
        <v>124530</v>
      </c>
      <c r="B31" s="38" t="s">
        <v>107</v>
      </c>
      <c r="C31" s="39">
        <f t="shared" si="1"/>
        <v>0</v>
      </c>
      <c r="D31" s="39"/>
      <c r="E31" s="41"/>
      <c r="F31" s="41"/>
      <c r="G31" s="41"/>
      <c r="H31" s="39"/>
      <c r="I31" s="39"/>
      <c r="J31" s="39">
        <f>K31+O31</f>
        <v>500</v>
      </c>
      <c r="K31" s="39">
        <v>500</v>
      </c>
      <c r="L31" s="41"/>
      <c r="M31" s="41"/>
      <c r="N31" s="41"/>
      <c r="O31" s="41"/>
      <c r="P31" s="39">
        <f>Q31+T31+Y31</f>
        <v>36052</v>
      </c>
      <c r="Q31" s="39">
        <f t="shared" si="4"/>
        <v>10414</v>
      </c>
      <c r="R31" s="39">
        <v>4705</v>
      </c>
      <c r="S31" s="39">
        <v>5709</v>
      </c>
      <c r="T31" s="39">
        <f>U31+V31+W31+X31</f>
        <v>18102</v>
      </c>
      <c r="U31" s="39">
        <f>17719+1</f>
        <v>17720</v>
      </c>
      <c r="V31" s="39">
        <v>4</v>
      </c>
      <c r="W31" s="39">
        <v>48</v>
      </c>
      <c r="X31" s="39">
        <v>330</v>
      </c>
      <c r="Y31" s="39">
        <f t="shared" si="8"/>
        <v>7536</v>
      </c>
      <c r="Z31" s="39">
        <v>4027</v>
      </c>
      <c r="AA31" s="39">
        <v>3509</v>
      </c>
      <c r="AB31" s="39">
        <v>3750</v>
      </c>
      <c r="AC31" s="39">
        <v>72630</v>
      </c>
      <c r="AD31" s="39">
        <v>29850</v>
      </c>
      <c r="AE31" s="39">
        <f t="shared" si="9"/>
        <v>43173</v>
      </c>
      <c r="AF31" s="39">
        <v>34000</v>
      </c>
      <c r="AG31" s="39"/>
      <c r="AH31" s="39">
        <v>5543</v>
      </c>
      <c r="AI31" s="39"/>
      <c r="AJ31" s="39"/>
      <c r="AK31" s="39"/>
      <c r="AL31" s="39">
        <f t="shared" si="2"/>
        <v>3630</v>
      </c>
      <c r="AM31" s="39">
        <v>3630</v>
      </c>
      <c r="AN31" s="43"/>
      <c r="AO31" s="43"/>
      <c r="AP31" s="39">
        <f t="shared" si="10"/>
        <v>13003</v>
      </c>
      <c r="AQ31" s="43">
        <v>2126</v>
      </c>
      <c r="AR31" s="44">
        <v>2822</v>
      </c>
      <c r="AS31" s="44">
        <v>6560</v>
      </c>
      <c r="AT31" s="44">
        <v>1495</v>
      </c>
      <c r="AU31" s="39">
        <f t="shared" si="7"/>
        <v>1449</v>
      </c>
      <c r="AV31" s="44">
        <f>30+79+251</f>
        <v>360</v>
      </c>
      <c r="AW31" s="39">
        <v>1089</v>
      </c>
      <c r="AX31" s="39">
        <f t="shared" si="3"/>
        <v>9234</v>
      </c>
      <c r="AY31" s="39">
        <f>9061-127</f>
        <v>8934</v>
      </c>
      <c r="AZ31" s="39"/>
      <c r="BA31" s="39">
        <v>300</v>
      </c>
      <c r="BB31" s="39"/>
      <c r="BC31" s="39"/>
      <c r="BD31" s="39">
        <v>5000</v>
      </c>
      <c r="BE31" s="39">
        <v>1000</v>
      </c>
      <c r="BF31" s="39"/>
      <c r="BG31" s="39"/>
      <c r="BH31" s="39"/>
      <c r="BI31" s="39"/>
      <c r="BJ31" s="39"/>
      <c r="BK31" s="39"/>
      <c r="BL31" s="39">
        <v>30</v>
      </c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</row>
    <row r="32" spans="1:77" ht="25.5">
      <c r="A32" s="37">
        <v>125308</v>
      </c>
      <c r="B32" s="38" t="s">
        <v>108</v>
      </c>
      <c r="C32" s="39">
        <f t="shared" si="1"/>
        <v>0</v>
      </c>
      <c r="D32" s="39"/>
      <c r="E32" s="41"/>
      <c r="F32" s="41"/>
      <c r="G32" s="41"/>
      <c r="H32" s="39"/>
      <c r="I32" s="39"/>
      <c r="J32" s="39"/>
      <c r="K32" s="39"/>
      <c r="L32" s="41"/>
      <c r="M32" s="41"/>
      <c r="N32" s="41"/>
      <c r="O32" s="41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>
        <f>44300-1500</f>
        <v>42800</v>
      </c>
      <c r="AD32" s="39">
        <f>17700-500</f>
        <v>17200</v>
      </c>
      <c r="AE32" s="39">
        <f t="shared" si="9"/>
        <v>24590</v>
      </c>
      <c r="AF32" s="39">
        <f>24840-250</f>
        <v>24590</v>
      </c>
      <c r="AG32" s="39"/>
      <c r="AH32" s="39"/>
      <c r="AI32" s="39"/>
      <c r="AJ32" s="39"/>
      <c r="AK32" s="39"/>
      <c r="AL32" s="39"/>
      <c r="AM32" s="39"/>
      <c r="AN32" s="43"/>
      <c r="AO32" s="43"/>
      <c r="AP32" s="39"/>
      <c r="AQ32" s="43"/>
      <c r="AR32" s="44"/>
      <c r="AS32" s="44"/>
      <c r="AT32" s="44"/>
      <c r="AU32" s="39"/>
      <c r="AV32" s="44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</row>
    <row r="33" spans="1:77" ht="25.5">
      <c r="A33" s="37">
        <v>125901</v>
      </c>
      <c r="B33" s="38" t="s">
        <v>109</v>
      </c>
      <c r="C33" s="39">
        <f t="shared" si="1"/>
        <v>0</v>
      </c>
      <c r="D33" s="39"/>
      <c r="E33" s="41"/>
      <c r="F33" s="41"/>
      <c r="G33" s="41"/>
      <c r="H33" s="39"/>
      <c r="I33" s="39"/>
      <c r="J33" s="39"/>
      <c r="K33" s="39"/>
      <c r="L33" s="41"/>
      <c r="M33" s="41"/>
      <c r="N33" s="41"/>
      <c r="O33" s="41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>
        <v>5200</v>
      </c>
      <c r="AD33" s="39">
        <v>200</v>
      </c>
      <c r="AE33" s="39">
        <f t="shared" si="9"/>
        <v>8400</v>
      </c>
      <c r="AF33" s="39">
        <v>8400</v>
      </c>
      <c r="AG33" s="39"/>
      <c r="AH33" s="39"/>
      <c r="AI33" s="39"/>
      <c r="AJ33" s="39"/>
      <c r="AK33" s="39"/>
      <c r="AL33" s="39"/>
      <c r="AM33" s="39"/>
      <c r="AN33" s="43"/>
      <c r="AO33" s="43"/>
      <c r="AP33" s="39"/>
      <c r="AQ33" s="43"/>
      <c r="AR33" s="44"/>
      <c r="AS33" s="44"/>
      <c r="AT33" s="44"/>
      <c r="AU33" s="39"/>
      <c r="AV33" s="44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</row>
    <row r="34" spans="1:77" ht="38.25">
      <c r="A34" s="37">
        <v>125902</v>
      </c>
      <c r="B34" s="38" t="s">
        <v>110</v>
      </c>
      <c r="C34" s="39">
        <f t="shared" si="1"/>
        <v>0</v>
      </c>
      <c r="D34" s="39"/>
      <c r="E34" s="41"/>
      <c r="F34" s="41"/>
      <c r="G34" s="41"/>
      <c r="H34" s="39"/>
      <c r="I34" s="39"/>
      <c r="J34" s="39"/>
      <c r="K34" s="39"/>
      <c r="L34" s="41"/>
      <c r="M34" s="41"/>
      <c r="N34" s="41"/>
      <c r="O34" s="41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3"/>
      <c r="AO34" s="43"/>
      <c r="AP34" s="39"/>
      <c r="AQ34" s="43"/>
      <c r="AR34" s="44"/>
      <c r="AS34" s="44"/>
      <c r="AT34" s="44"/>
      <c r="AU34" s="39"/>
      <c r="AV34" s="44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>
        <v>20000</v>
      </c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</row>
    <row r="35" spans="1:77" ht="25.5">
      <c r="A35" s="37">
        <v>126501</v>
      </c>
      <c r="B35" s="38" t="s">
        <v>111</v>
      </c>
      <c r="C35" s="39">
        <f t="shared" si="1"/>
        <v>0</v>
      </c>
      <c r="D35" s="39"/>
      <c r="E35" s="41"/>
      <c r="F35" s="41"/>
      <c r="G35" s="41"/>
      <c r="H35" s="39"/>
      <c r="I35" s="39"/>
      <c r="J35" s="39"/>
      <c r="K35" s="39"/>
      <c r="L35" s="41"/>
      <c r="M35" s="41"/>
      <c r="N35" s="41"/>
      <c r="O35" s="41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43"/>
      <c r="AO35" s="43"/>
      <c r="AP35" s="39"/>
      <c r="AQ35" s="43"/>
      <c r="AR35" s="44"/>
      <c r="AS35" s="44"/>
      <c r="AT35" s="44"/>
      <c r="AU35" s="39"/>
      <c r="AV35" s="44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>
        <v>352700</v>
      </c>
    </row>
    <row r="36" spans="1:77" ht="25.5">
      <c r="A36" s="37">
        <v>131001</v>
      </c>
      <c r="B36" s="38" t="s">
        <v>112</v>
      </c>
      <c r="C36" s="39">
        <f t="shared" si="1"/>
        <v>8750</v>
      </c>
      <c r="D36" s="42">
        <f>9044-350</f>
        <v>8694</v>
      </c>
      <c r="E36" s="41"/>
      <c r="F36" s="41"/>
      <c r="G36" s="41"/>
      <c r="H36" s="39">
        <v>56</v>
      </c>
      <c r="I36" s="39"/>
      <c r="J36" s="39">
        <f>K36+O36</f>
        <v>1000</v>
      </c>
      <c r="K36" s="39">
        <v>1000</v>
      </c>
      <c r="L36" s="41"/>
      <c r="M36" s="41"/>
      <c r="N36" s="41"/>
      <c r="O36" s="41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>
        <v>14000</v>
      </c>
      <c r="AE36" s="39">
        <f t="shared" ref="AE36:AE63" si="11">AF36+AG36+AH36+AI36+AL36</f>
        <v>600</v>
      </c>
      <c r="AF36" s="39">
        <v>600</v>
      </c>
      <c r="AG36" s="39"/>
      <c r="AH36" s="39"/>
      <c r="AI36" s="39"/>
      <c r="AJ36" s="39"/>
      <c r="AK36" s="39"/>
      <c r="AL36" s="39"/>
      <c r="AM36" s="39"/>
      <c r="AN36" s="43"/>
      <c r="AO36" s="43"/>
      <c r="AP36" s="39"/>
      <c r="AQ36" s="43"/>
      <c r="AR36" s="44"/>
      <c r="AS36" s="44"/>
      <c r="AT36" s="44"/>
      <c r="AU36" s="39"/>
      <c r="AV36" s="44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</row>
    <row r="37" spans="1:77" ht="25.5">
      <c r="A37" s="37">
        <v>131020</v>
      </c>
      <c r="B37" s="38" t="s">
        <v>113</v>
      </c>
      <c r="C37" s="39">
        <f t="shared" si="1"/>
        <v>1300</v>
      </c>
      <c r="D37" s="39">
        <v>1300</v>
      </c>
      <c r="E37" s="41"/>
      <c r="F37" s="41"/>
      <c r="G37" s="41"/>
      <c r="H37" s="39"/>
      <c r="I37" s="39"/>
      <c r="J37" s="39">
        <f>K37+O37</f>
        <v>2450</v>
      </c>
      <c r="K37" s="39">
        <v>2450</v>
      </c>
      <c r="L37" s="41"/>
      <c r="M37" s="41"/>
      <c r="N37" s="41"/>
      <c r="O37" s="41"/>
      <c r="P37" s="39">
        <f>Q37+T37+Y37</f>
        <v>16571</v>
      </c>
      <c r="Q37" s="39">
        <f t="shared" si="4"/>
        <v>16175</v>
      </c>
      <c r="R37" s="39"/>
      <c r="S37" s="39">
        <v>16175</v>
      </c>
      <c r="T37" s="39">
        <f>U37+V37+W37+X37</f>
        <v>396</v>
      </c>
      <c r="U37" s="39"/>
      <c r="V37" s="39"/>
      <c r="W37" s="39">
        <v>125</v>
      </c>
      <c r="X37" s="39">
        <v>271</v>
      </c>
      <c r="Y37" s="39"/>
      <c r="Z37" s="39"/>
      <c r="AA37" s="39"/>
      <c r="AB37" s="39"/>
      <c r="AC37" s="39">
        <v>78180</v>
      </c>
      <c r="AD37" s="39">
        <v>13680</v>
      </c>
      <c r="AE37" s="39">
        <f t="shared" si="11"/>
        <v>28630</v>
      </c>
      <c r="AF37" s="39">
        <v>27160</v>
      </c>
      <c r="AG37" s="39"/>
      <c r="AH37" s="39"/>
      <c r="AI37" s="39"/>
      <c r="AJ37" s="39"/>
      <c r="AK37" s="39"/>
      <c r="AL37" s="39">
        <f t="shared" si="2"/>
        <v>1470</v>
      </c>
      <c r="AM37" s="39">
        <v>1470</v>
      </c>
      <c r="AN37" s="43"/>
      <c r="AO37" s="43"/>
      <c r="AP37" s="39">
        <f t="shared" ref="AP37" si="12">AQ37+AR37+AS37+AT37</f>
        <v>70</v>
      </c>
      <c r="AQ37" s="43"/>
      <c r="AR37" s="44"/>
      <c r="AS37" s="44"/>
      <c r="AT37" s="44">
        <v>70</v>
      </c>
      <c r="AU37" s="39"/>
      <c r="AV37" s="44"/>
      <c r="AW37" s="39"/>
      <c r="AX37" s="39">
        <f t="shared" si="3"/>
        <v>3703</v>
      </c>
      <c r="AY37" s="39">
        <v>3703</v>
      </c>
      <c r="AZ37" s="39"/>
      <c r="BA37" s="39"/>
      <c r="BB37" s="39"/>
      <c r="BC37" s="39"/>
      <c r="BD37" s="39">
        <v>3500</v>
      </c>
      <c r="BE37" s="39">
        <v>200</v>
      </c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</row>
    <row r="38" spans="1:77" ht="51">
      <c r="A38" s="37">
        <v>131940</v>
      </c>
      <c r="B38" s="38" t="s">
        <v>114</v>
      </c>
      <c r="C38" s="39">
        <f t="shared" si="1"/>
        <v>1200</v>
      </c>
      <c r="D38" s="39"/>
      <c r="E38" s="41"/>
      <c r="F38" s="41"/>
      <c r="G38" s="41"/>
      <c r="H38" s="39"/>
      <c r="I38" s="39">
        <v>1200</v>
      </c>
      <c r="J38" s="39"/>
      <c r="K38" s="39"/>
      <c r="L38" s="41"/>
      <c r="M38" s="41"/>
      <c r="N38" s="41"/>
      <c r="O38" s="41"/>
      <c r="P38" s="39">
        <f>Q38+T38+Y38</f>
        <v>350</v>
      </c>
      <c r="Q38" s="39"/>
      <c r="R38" s="39"/>
      <c r="S38" s="39"/>
      <c r="T38" s="39">
        <f>U38+V38+W38+X38</f>
        <v>350</v>
      </c>
      <c r="U38" s="39">
        <v>350</v>
      </c>
      <c r="V38" s="39"/>
      <c r="W38" s="39"/>
      <c r="X38" s="39"/>
      <c r="Y38" s="39"/>
      <c r="Z38" s="39"/>
      <c r="AA38" s="39"/>
      <c r="AB38" s="39"/>
      <c r="AC38" s="39"/>
      <c r="AD38" s="39"/>
      <c r="AE38" s="39">
        <f t="shared" si="11"/>
        <v>0</v>
      </c>
      <c r="AF38" s="39"/>
      <c r="AG38" s="39"/>
      <c r="AH38" s="39"/>
      <c r="AI38" s="39"/>
      <c r="AJ38" s="39"/>
      <c r="AK38" s="39"/>
      <c r="AL38" s="39"/>
      <c r="AM38" s="39"/>
      <c r="AN38" s="43"/>
      <c r="AO38" s="43">
        <v>65</v>
      </c>
      <c r="AP38" s="39"/>
      <c r="AQ38" s="43"/>
      <c r="AR38" s="44"/>
      <c r="AS38" s="44"/>
      <c r="AT38" s="44"/>
      <c r="AU38" s="39"/>
      <c r="AV38" s="44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</row>
    <row r="39" spans="1:77" ht="25.5">
      <c r="A39" s="37">
        <v>134505</v>
      </c>
      <c r="B39" s="38" t="s">
        <v>115</v>
      </c>
      <c r="C39" s="39">
        <f t="shared" si="1"/>
        <v>0</v>
      </c>
      <c r="D39" s="39"/>
      <c r="E39" s="41"/>
      <c r="F39" s="41"/>
      <c r="G39" s="41"/>
      <c r="H39" s="39"/>
      <c r="I39" s="39"/>
      <c r="J39" s="39">
        <f>K39+O39</f>
        <v>500</v>
      </c>
      <c r="K39" s="39">
        <v>500</v>
      </c>
      <c r="L39" s="41"/>
      <c r="M39" s="41"/>
      <c r="N39" s="41"/>
      <c r="O39" s="41"/>
      <c r="P39" s="39">
        <f>Q39+T39+Y39</f>
        <v>50443</v>
      </c>
      <c r="Q39" s="39">
        <f t="shared" si="4"/>
        <v>7343</v>
      </c>
      <c r="R39" s="39">
        <v>7343</v>
      </c>
      <c r="S39" s="39"/>
      <c r="T39" s="39">
        <f>U39+V39+W39+X39</f>
        <v>30866</v>
      </c>
      <c r="U39" s="39">
        <f>30827-6</f>
        <v>30821</v>
      </c>
      <c r="V39" s="39">
        <v>45</v>
      </c>
      <c r="W39" s="39"/>
      <c r="X39" s="39"/>
      <c r="Y39" s="39">
        <f t="shared" si="8"/>
        <v>12234</v>
      </c>
      <c r="Z39" s="39">
        <v>6417</v>
      </c>
      <c r="AA39" s="39">
        <v>5817</v>
      </c>
      <c r="AB39" s="39">
        <v>4170</v>
      </c>
      <c r="AC39" s="39">
        <v>85380</v>
      </c>
      <c r="AD39" s="39">
        <v>24490</v>
      </c>
      <c r="AE39" s="39">
        <f t="shared" si="11"/>
        <v>53395</v>
      </c>
      <c r="AF39" s="39">
        <v>38610</v>
      </c>
      <c r="AG39" s="39"/>
      <c r="AH39" s="39">
        <v>9475</v>
      </c>
      <c r="AI39" s="39"/>
      <c r="AJ39" s="39"/>
      <c r="AK39" s="39"/>
      <c r="AL39" s="39">
        <f t="shared" si="2"/>
        <v>5310</v>
      </c>
      <c r="AM39" s="39">
        <v>5310</v>
      </c>
      <c r="AN39" s="43"/>
      <c r="AO39" s="43"/>
      <c r="AP39" s="39">
        <f>AQ39+AR39+AS39+AT39</f>
        <v>22106</v>
      </c>
      <c r="AQ39" s="43">
        <v>3626</v>
      </c>
      <c r="AR39" s="44">
        <v>4813</v>
      </c>
      <c r="AS39" s="44">
        <v>11187</v>
      </c>
      <c r="AT39" s="44">
        <f>2550-70</f>
        <v>2480</v>
      </c>
      <c r="AU39" s="39">
        <f t="shared" si="7"/>
        <v>2113</v>
      </c>
      <c r="AV39" s="44">
        <f>40+105+335</f>
        <v>480</v>
      </c>
      <c r="AW39" s="39">
        <v>1633</v>
      </c>
      <c r="AX39" s="39">
        <f t="shared" si="3"/>
        <v>13691</v>
      </c>
      <c r="AY39" s="39">
        <f>13191-300</f>
        <v>12891</v>
      </c>
      <c r="AZ39" s="39">
        <v>300</v>
      </c>
      <c r="BA39" s="39">
        <v>500</v>
      </c>
      <c r="BB39" s="39"/>
      <c r="BC39" s="39"/>
      <c r="BD39" s="39">
        <v>3000</v>
      </c>
      <c r="BE39" s="39">
        <v>1100</v>
      </c>
      <c r="BF39" s="39"/>
      <c r="BG39" s="39"/>
      <c r="BH39" s="39"/>
      <c r="BI39" s="39"/>
      <c r="BJ39" s="39"/>
      <c r="BK39" s="39"/>
      <c r="BL39" s="39">
        <v>50</v>
      </c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</row>
    <row r="40" spans="1:77" ht="25.5">
      <c r="A40" s="37">
        <v>135311</v>
      </c>
      <c r="B40" s="38" t="s">
        <v>116</v>
      </c>
      <c r="C40" s="39">
        <f t="shared" si="1"/>
        <v>0</v>
      </c>
      <c r="D40" s="39"/>
      <c r="E40" s="41"/>
      <c r="F40" s="41"/>
      <c r="G40" s="41"/>
      <c r="H40" s="39"/>
      <c r="I40" s="39"/>
      <c r="J40" s="39"/>
      <c r="K40" s="39"/>
      <c r="L40" s="41"/>
      <c r="M40" s="41"/>
      <c r="N40" s="41"/>
      <c r="O40" s="41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>
        <v>26360</v>
      </c>
      <c r="AD40" s="39">
        <v>5700</v>
      </c>
      <c r="AE40" s="39">
        <f t="shared" si="11"/>
        <v>12400</v>
      </c>
      <c r="AF40" s="39">
        <v>12400</v>
      </c>
      <c r="AG40" s="39"/>
      <c r="AH40" s="39"/>
      <c r="AI40" s="39"/>
      <c r="AJ40" s="39"/>
      <c r="AK40" s="39"/>
      <c r="AL40" s="39"/>
      <c r="AM40" s="39"/>
      <c r="AN40" s="43"/>
      <c r="AO40" s="43"/>
      <c r="AP40" s="39"/>
      <c r="AQ40" s="43"/>
      <c r="AR40" s="44"/>
      <c r="AS40" s="44"/>
      <c r="AT40" s="44"/>
      <c r="AU40" s="39"/>
      <c r="AV40" s="44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</row>
    <row r="41" spans="1:77" ht="25.5">
      <c r="A41" s="37">
        <v>141016</v>
      </c>
      <c r="B41" s="38" t="s">
        <v>117</v>
      </c>
      <c r="C41" s="39">
        <f t="shared" si="1"/>
        <v>5800</v>
      </c>
      <c r="D41" s="42">
        <f>6150-350</f>
        <v>5800</v>
      </c>
      <c r="E41" s="41"/>
      <c r="F41" s="41"/>
      <c r="G41" s="41"/>
      <c r="H41" s="39"/>
      <c r="I41" s="39"/>
      <c r="J41" s="39">
        <f>K41+O41</f>
        <v>1800</v>
      </c>
      <c r="K41" s="39">
        <v>1500</v>
      </c>
      <c r="L41" s="41"/>
      <c r="M41" s="41"/>
      <c r="N41" s="41"/>
      <c r="O41" s="41">
        <v>300</v>
      </c>
      <c r="P41" s="39">
        <f>Q41+T41+Y41</f>
        <v>37978</v>
      </c>
      <c r="Q41" s="39">
        <f t="shared" si="4"/>
        <v>5092</v>
      </c>
      <c r="R41" s="39">
        <v>5092</v>
      </c>
      <c r="S41" s="39"/>
      <c r="T41" s="39">
        <f>U41+V41+W41+X41</f>
        <v>24125</v>
      </c>
      <c r="U41" s="39">
        <f>24080+2</f>
        <v>24082</v>
      </c>
      <c r="V41" s="39">
        <v>43</v>
      </c>
      <c r="W41" s="39"/>
      <c r="X41" s="39"/>
      <c r="Y41" s="39">
        <f t="shared" si="8"/>
        <v>8761</v>
      </c>
      <c r="Z41" s="39">
        <v>4389</v>
      </c>
      <c r="AA41" s="39">
        <v>4372</v>
      </c>
      <c r="AB41" s="39">
        <v>2800</v>
      </c>
      <c r="AC41" s="39">
        <v>60890</v>
      </c>
      <c r="AD41" s="39">
        <v>19140</v>
      </c>
      <c r="AE41" s="39">
        <f t="shared" si="11"/>
        <v>40283</v>
      </c>
      <c r="AF41" s="39">
        <v>29050</v>
      </c>
      <c r="AG41" s="39"/>
      <c r="AH41" s="39">
        <v>7243</v>
      </c>
      <c r="AI41" s="39"/>
      <c r="AJ41" s="39"/>
      <c r="AK41" s="39"/>
      <c r="AL41" s="39">
        <f t="shared" si="2"/>
        <v>3990</v>
      </c>
      <c r="AM41" s="39">
        <v>3990</v>
      </c>
      <c r="AN41" s="43"/>
      <c r="AO41" s="43">
        <v>136</v>
      </c>
      <c r="AP41" s="39">
        <f t="shared" ref="AP41:AP43" si="13">AQ41+AR41+AS41+AT41</f>
        <v>17318</v>
      </c>
      <c r="AQ41" s="43">
        <v>2832</v>
      </c>
      <c r="AR41" s="44">
        <v>3759</v>
      </c>
      <c r="AS41" s="44">
        <v>8736</v>
      </c>
      <c r="AT41" s="44">
        <v>1991</v>
      </c>
      <c r="AU41" s="39">
        <f t="shared" si="7"/>
        <v>1460</v>
      </c>
      <c r="AV41" s="44">
        <f>30+79+251</f>
        <v>360</v>
      </c>
      <c r="AW41" s="39">
        <v>1100</v>
      </c>
      <c r="AX41" s="39">
        <f t="shared" si="3"/>
        <v>10480</v>
      </c>
      <c r="AY41" s="39">
        <f>10301-221</f>
        <v>10080</v>
      </c>
      <c r="AZ41" s="39"/>
      <c r="BA41" s="39">
        <v>400</v>
      </c>
      <c r="BB41" s="42">
        <v>1800</v>
      </c>
      <c r="BC41" s="39"/>
      <c r="BD41" s="39">
        <v>7000</v>
      </c>
      <c r="BE41" s="39">
        <f>1000+500</f>
        <v>1500</v>
      </c>
      <c r="BF41" s="39"/>
      <c r="BG41" s="39"/>
      <c r="BH41" s="39"/>
      <c r="BI41" s="39"/>
      <c r="BJ41" s="39"/>
      <c r="BK41" s="39"/>
      <c r="BL41" s="39">
        <v>35</v>
      </c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</row>
    <row r="42" spans="1:77" ht="25.5">
      <c r="A42" s="37">
        <v>141022</v>
      </c>
      <c r="B42" s="38" t="s">
        <v>118</v>
      </c>
      <c r="C42" s="39">
        <f t="shared" si="1"/>
        <v>1600</v>
      </c>
      <c r="D42" s="42">
        <f>1700-100</f>
        <v>1600</v>
      </c>
      <c r="E42" s="41"/>
      <c r="F42" s="41"/>
      <c r="G42" s="41"/>
      <c r="H42" s="39"/>
      <c r="I42" s="39"/>
      <c r="J42" s="39">
        <f>K42+O42</f>
        <v>1200</v>
      </c>
      <c r="K42" s="39">
        <v>1200</v>
      </c>
      <c r="L42" s="41"/>
      <c r="M42" s="41"/>
      <c r="N42" s="41"/>
      <c r="O42" s="41"/>
      <c r="P42" s="39">
        <f>Q42+T42+Y42</f>
        <v>23012</v>
      </c>
      <c r="Q42" s="39">
        <f t="shared" si="4"/>
        <v>3171</v>
      </c>
      <c r="R42" s="39">
        <v>3171</v>
      </c>
      <c r="S42" s="39"/>
      <c r="T42" s="39">
        <f>U42+V42+W42+X42</f>
        <v>14361</v>
      </c>
      <c r="U42" s="39">
        <f>14352+1</f>
        <v>14353</v>
      </c>
      <c r="V42" s="39">
        <v>8</v>
      </c>
      <c r="W42" s="39"/>
      <c r="X42" s="39"/>
      <c r="Y42" s="39">
        <f t="shared" si="8"/>
        <v>5480</v>
      </c>
      <c r="Z42" s="39">
        <v>2755</v>
      </c>
      <c r="AA42" s="39">
        <v>2725</v>
      </c>
      <c r="AB42" s="39">
        <v>3750</v>
      </c>
      <c r="AC42" s="39">
        <v>36940</v>
      </c>
      <c r="AD42" s="39">
        <v>11790</v>
      </c>
      <c r="AE42" s="39">
        <f t="shared" si="11"/>
        <v>24805</v>
      </c>
      <c r="AF42" s="39">
        <v>18000</v>
      </c>
      <c r="AG42" s="39"/>
      <c r="AH42" s="39">
        <v>4365</v>
      </c>
      <c r="AI42" s="39"/>
      <c r="AJ42" s="39"/>
      <c r="AK42" s="39"/>
      <c r="AL42" s="39">
        <f t="shared" si="2"/>
        <v>2440</v>
      </c>
      <c r="AM42" s="39">
        <v>2440</v>
      </c>
      <c r="AN42" s="43"/>
      <c r="AO42" s="43"/>
      <c r="AP42" s="39">
        <f t="shared" si="13"/>
        <v>10506</v>
      </c>
      <c r="AQ42" s="43">
        <v>1718</v>
      </c>
      <c r="AR42" s="44">
        <v>2280</v>
      </c>
      <c r="AS42" s="44">
        <v>5300</v>
      </c>
      <c r="AT42" s="44">
        <v>1208</v>
      </c>
      <c r="AU42" s="39">
        <f t="shared" si="7"/>
        <v>1068</v>
      </c>
      <c r="AV42" s="44">
        <f>20+53+167</f>
        <v>240</v>
      </c>
      <c r="AW42" s="39">
        <v>828</v>
      </c>
      <c r="AX42" s="39">
        <f t="shared" si="3"/>
        <v>6414</v>
      </c>
      <c r="AY42" s="39">
        <f>6249-135</f>
        <v>6114</v>
      </c>
      <c r="AZ42" s="39"/>
      <c r="BA42" s="39">
        <v>300</v>
      </c>
      <c r="BB42" s="39"/>
      <c r="BC42" s="39"/>
      <c r="BD42" s="39">
        <v>3000</v>
      </c>
      <c r="BE42" s="39">
        <v>1000</v>
      </c>
      <c r="BF42" s="39"/>
      <c r="BG42" s="39"/>
      <c r="BH42" s="39"/>
      <c r="BI42" s="39"/>
      <c r="BJ42" s="39"/>
      <c r="BK42" s="39"/>
      <c r="BL42" s="39">
        <v>25</v>
      </c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</row>
    <row r="43" spans="1:77" ht="38.25">
      <c r="A43" s="37">
        <v>141023</v>
      </c>
      <c r="B43" s="38" t="s">
        <v>119</v>
      </c>
      <c r="C43" s="39">
        <f t="shared" si="1"/>
        <v>15600</v>
      </c>
      <c r="D43" s="39">
        <v>15488</v>
      </c>
      <c r="E43" s="41"/>
      <c r="F43" s="41"/>
      <c r="G43" s="41"/>
      <c r="H43" s="39">
        <v>112</v>
      </c>
      <c r="I43" s="39"/>
      <c r="J43" s="39">
        <f>K43+O43</f>
        <v>2500</v>
      </c>
      <c r="K43" s="39">
        <v>2500</v>
      </c>
      <c r="L43" s="41">
        <v>1300</v>
      </c>
      <c r="M43" s="41"/>
      <c r="N43" s="41"/>
      <c r="O43" s="41"/>
      <c r="P43" s="39">
        <f>Q43+T43+Y43</f>
        <v>28386</v>
      </c>
      <c r="Q43" s="39">
        <f t="shared" si="4"/>
        <v>3723</v>
      </c>
      <c r="R43" s="39">
        <v>3723</v>
      </c>
      <c r="S43" s="39"/>
      <c r="T43" s="39">
        <f>U43+V43+W43+X43</f>
        <v>18244</v>
      </c>
      <c r="U43" s="39">
        <f>18230+2</f>
        <v>18232</v>
      </c>
      <c r="V43" s="39">
        <v>12</v>
      </c>
      <c r="W43" s="39"/>
      <c r="X43" s="39"/>
      <c r="Y43" s="39">
        <f t="shared" si="8"/>
        <v>6419</v>
      </c>
      <c r="Z43" s="39">
        <v>3573</v>
      </c>
      <c r="AA43" s="39">
        <v>2846</v>
      </c>
      <c r="AB43" s="39">
        <v>4027</v>
      </c>
      <c r="AC43" s="39">
        <v>44350</v>
      </c>
      <c r="AD43" s="39">
        <v>25620</v>
      </c>
      <c r="AE43" s="39">
        <f t="shared" si="11"/>
        <v>35495</v>
      </c>
      <c r="AF43" s="39">
        <v>22410</v>
      </c>
      <c r="AG43" s="39">
        <v>4000</v>
      </c>
      <c r="AH43" s="39">
        <v>5437</v>
      </c>
      <c r="AI43" s="39">
        <f>AK43+AJ43</f>
        <v>648</v>
      </c>
      <c r="AJ43" s="39">
        <v>648</v>
      </c>
      <c r="AK43" s="39"/>
      <c r="AL43" s="39">
        <f t="shared" si="2"/>
        <v>3000</v>
      </c>
      <c r="AM43" s="39">
        <v>3000</v>
      </c>
      <c r="AN43" s="43"/>
      <c r="AO43" s="43"/>
      <c r="AP43" s="39">
        <f t="shared" si="13"/>
        <v>11840</v>
      </c>
      <c r="AQ43" s="43">
        <v>1936</v>
      </c>
      <c r="AR43" s="44">
        <v>2570</v>
      </c>
      <c r="AS43" s="44">
        <v>5973</v>
      </c>
      <c r="AT43" s="44">
        <v>1361</v>
      </c>
      <c r="AU43" s="39">
        <f t="shared" si="7"/>
        <v>1449</v>
      </c>
      <c r="AV43" s="44">
        <f>30+79+251</f>
        <v>360</v>
      </c>
      <c r="AW43" s="39">
        <v>1089</v>
      </c>
      <c r="AX43" s="39">
        <f t="shared" si="3"/>
        <v>7240</v>
      </c>
      <c r="AY43" s="39">
        <f>7042-152</f>
        <v>6890</v>
      </c>
      <c r="AZ43" s="39"/>
      <c r="BA43" s="39">
        <v>350</v>
      </c>
      <c r="BB43" s="42">
        <f>10000-1800</f>
        <v>8200</v>
      </c>
      <c r="BC43" s="39">
        <v>1000</v>
      </c>
      <c r="BD43" s="39">
        <v>7000</v>
      </c>
      <c r="BE43" s="39">
        <v>3000</v>
      </c>
      <c r="BF43" s="39"/>
      <c r="BG43" s="39"/>
      <c r="BH43" s="39"/>
      <c r="BI43" s="39"/>
      <c r="BJ43" s="39"/>
      <c r="BK43" s="39"/>
      <c r="BL43" s="39">
        <v>30</v>
      </c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</row>
    <row r="44" spans="1:77" ht="25.5">
      <c r="A44" s="37">
        <v>145312</v>
      </c>
      <c r="B44" s="38" t="s">
        <v>120</v>
      </c>
      <c r="C44" s="39">
        <f t="shared" si="1"/>
        <v>0</v>
      </c>
      <c r="D44" s="39"/>
      <c r="E44" s="41"/>
      <c r="F44" s="41"/>
      <c r="G44" s="41"/>
      <c r="H44" s="39"/>
      <c r="I44" s="39"/>
      <c r="J44" s="39"/>
      <c r="K44" s="39"/>
      <c r="L44" s="41"/>
      <c r="M44" s="41"/>
      <c r="N44" s="41"/>
      <c r="O44" s="41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>
        <v>44820</v>
      </c>
      <c r="AD44" s="39">
        <v>17670</v>
      </c>
      <c r="AE44" s="39">
        <f t="shared" si="11"/>
        <v>19040</v>
      </c>
      <c r="AF44" s="39">
        <v>19040</v>
      </c>
      <c r="AG44" s="39"/>
      <c r="AH44" s="39"/>
      <c r="AI44" s="39"/>
      <c r="AJ44" s="39"/>
      <c r="AK44" s="39"/>
      <c r="AL44" s="39"/>
      <c r="AM44" s="39"/>
      <c r="AN44" s="43"/>
      <c r="AO44" s="43"/>
      <c r="AP44" s="39"/>
      <c r="AQ44" s="43"/>
      <c r="AR44" s="44"/>
      <c r="AS44" s="44"/>
      <c r="AT44" s="44"/>
      <c r="AU44" s="39"/>
      <c r="AV44" s="44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</row>
    <row r="45" spans="1:77" ht="25.5">
      <c r="A45" s="37">
        <v>145516</v>
      </c>
      <c r="B45" s="38" t="s">
        <v>121</v>
      </c>
      <c r="C45" s="39">
        <f t="shared" si="1"/>
        <v>0</v>
      </c>
      <c r="D45" s="39"/>
      <c r="E45" s="41"/>
      <c r="F45" s="41"/>
      <c r="G45" s="41"/>
      <c r="H45" s="39"/>
      <c r="I45" s="39"/>
      <c r="J45" s="39">
        <f>K45+O45</f>
        <v>600</v>
      </c>
      <c r="K45" s="39">
        <v>600</v>
      </c>
      <c r="L45" s="41"/>
      <c r="M45" s="41"/>
      <c r="N45" s="41"/>
      <c r="O45" s="41"/>
      <c r="P45" s="39">
        <f>Q45+T45+Y45</f>
        <v>23325</v>
      </c>
      <c r="Q45" s="39">
        <f t="shared" si="4"/>
        <v>22935</v>
      </c>
      <c r="R45" s="39"/>
      <c r="S45" s="39">
        <v>22935</v>
      </c>
      <c r="T45" s="39">
        <f>U45+V45+W45+X45</f>
        <v>390</v>
      </c>
      <c r="U45" s="39"/>
      <c r="V45" s="39"/>
      <c r="W45" s="39">
        <v>204</v>
      </c>
      <c r="X45" s="39">
        <v>186</v>
      </c>
      <c r="Y45" s="39"/>
      <c r="Z45" s="39"/>
      <c r="AA45" s="39"/>
      <c r="AB45" s="39"/>
      <c r="AC45" s="39">
        <v>107920</v>
      </c>
      <c r="AD45" s="39">
        <v>13610</v>
      </c>
      <c r="AE45" s="39">
        <f t="shared" si="11"/>
        <v>39070</v>
      </c>
      <c r="AF45" s="39">
        <v>36990</v>
      </c>
      <c r="AG45" s="39"/>
      <c r="AH45" s="39"/>
      <c r="AI45" s="39"/>
      <c r="AJ45" s="39"/>
      <c r="AK45" s="39"/>
      <c r="AL45" s="39">
        <f t="shared" si="2"/>
        <v>2080</v>
      </c>
      <c r="AM45" s="39">
        <v>2080</v>
      </c>
      <c r="AN45" s="43"/>
      <c r="AO45" s="43"/>
      <c r="AP45" s="39"/>
      <c r="AQ45" s="43"/>
      <c r="AR45" s="44"/>
      <c r="AS45" s="44"/>
      <c r="AT45" s="44"/>
      <c r="AU45" s="39"/>
      <c r="AV45" s="44"/>
      <c r="AW45" s="39"/>
      <c r="AX45" s="39">
        <f t="shared" si="3"/>
        <v>5522</v>
      </c>
      <c r="AY45" s="39">
        <v>5442</v>
      </c>
      <c r="AZ45" s="39"/>
      <c r="BA45" s="39">
        <v>80</v>
      </c>
      <c r="BB45" s="39"/>
      <c r="BC45" s="39"/>
      <c r="BD45" s="39">
        <v>3400</v>
      </c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7" ht="25.5">
      <c r="A46" s="37">
        <v>146004</v>
      </c>
      <c r="B46" s="38" t="s">
        <v>122</v>
      </c>
      <c r="C46" s="39">
        <f t="shared" si="1"/>
        <v>2200</v>
      </c>
      <c r="D46" s="39">
        <v>2200</v>
      </c>
      <c r="E46" s="41"/>
      <c r="F46" s="41"/>
      <c r="G46" s="41"/>
      <c r="H46" s="39"/>
      <c r="I46" s="39"/>
      <c r="J46" s="39">
        <f>K46+O46</f>
        <v>1100</v>
      </c>
      <c r="K46" s="39">
        <v>1100</v>
      </c>
      <c r="L46" s="41"/>
      <c r="M46" s="41"/>
      <c r="N46" s="41"/>
      <c r="O46" s="41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>
        <v>30310</v>
      </c>
      <c r="AD46" s="39">
        <v>2000</v>
      </c>
      <c r="AE46" s="39">
        <f t="shared" si="11"/>
        <v>30900</v>
      </c>
      <c r="AF46" s="39">
        <v>30900</v>
      </c>
      <c r="AG46" s="39"/>
      <c r="AH46" s="39"/>
      <c r="AI46" s="39"/>
      <c r="AJ46" s="39"/>
      <c r="AK46" s="39"/>
      <c r="AL46" s="39"/>
      <c r="AM46" s="39"/>
      <c r="AN46" s="43"/>
      <c r="AO46" s="43"/>
      <c r="AP46" s="39"/>
      <c r="AQ46" s="43"/>
      <c r="AR46" s="44"/>
      <c r="AS46" s="44"/>
      <c r="AT46" s="44"/>
      <c r="AU46" s="39"/>
      <c r="AV46" s="44"/>
      <c r="AW46" s="39"/>
      <c r="AX46" s="39">
        <f t="shared" si="3"/>
        <v>508</v>
      </c>
      <c r="AY46" s="39"/>
      <c r="AZ46" s="39">
        <v>508</v>
      </c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</row>
    <row r="47" spans="1:77" ht="25.5">
      <c r="A47" s="37">
        <v>151005</v>
      </c>
      <c r="B47" s="38" t="s">
        <v>123</v>
      </c>
      <c r="C47" s="39">
        <f t="shared" si="1"/>
        <v>12250</v>
      </c>
      <c r="D47" s="39">
        <v>12237</v>
      </c>
      <c r="E47" s="41"/>
      <c r="F47" s="41"/>
      <c r="G47" s="41"/>
      <c r="H47" s="39">
        <v>13</v>
      </c>
      <c r="I47" s="39"/>
      <c r="J47" s="39">
        <f>K47+O47</f>
        <v>3160</v>
      </c>
      <c r="K47" s="39">
        <v>3160</v>
      </c>
      <c r="L47" s="41"/>
      <c r="M47" s="41"/>
      <c r="N47" s="41"/>
      <c r="O47" s="41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>
        <v>76600</v>
      </c>
      <c r="AD47" s="39">
        <v>4000</v>
      </c>
      <c r="AE47" s="39">
        <f t="shared" si="11"/>
        <v>11930</v>
      </c>
      <c r="AF47" s="39">
        <v>11930</v>
      </c>
      <c r="AG47" s="39"/>
      <c r="AH47" s="39"/>
      <c r="AI47" s="39"/>
      <c r="AJ47" s="39"/>
      <c r="AK47" s="39"/>
      <c r="AL47" s="39"/>
      <c r="AM47" s="39"/>
      <c r="AN47" s="43"/>
      <c r="AO47" s="43"/>
      <c r="AP47" s="39"/>
      <c r="AQ47" s="43"/>
      <c r="AR47" s="44"/>
      <c r="AS47" s="44"/>
      <c r="AT47" s="44"/>
      <c r="AU47" s="39"/>
      <c r="AV47" s="44"/>
      <c r="AW47" s="39"/>
      <c r="AX47" s="39">
        <f t="shared" si="3"/>
        <v>520</v>
      </c>
      <c r="AY47" s="39"/>
      <c r="AZ47" s="39">
        <f>309+211</f>
        <v>520</v>
      </c>
      <c r="BA47" s="39"/>
      <c r="BB47" s="39">
        <v>1000</v>
      </c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</row>
    <row r="48" spans="1:77" ht="25.5">
      <c r="A48" s="37">
        <v>151012</v>
      </c>
      <c r="B48" s="38" t="s">
        <v>124</v>
      </c>
      <c r="C48" s="39">
        <f t="shared" si="1"/>
        <v>6800</v>
      </c>
      <c r="D48" s="39">
        <v>5475</v>
      </c>
      <c r="E48" s="41"/>
      <c r="F48" s="41"/>
      <c r="G48" s="41"/>
      <c r="H48" s="39">
        <v>575</v>
      </c>
      <c r="I48" s="39">
        <v>750</v>
      </c>
      <c r="J48" s="39">
        <f>K48+O48</f>
        <v>450</v>
      </c>
      <c r="K48" s="39">
        <v>450</v>
      </c>
      <c r="L48" s="41"/>
      <c r="M48" s="41"/>
      <c r="N48" s="41"/>
      <c r="O48" s="41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>
        <f t="shared" si="11"/>
        <v>0</v>
      </c>
      <c r="AF48" s="39"/>
      <c r="AG48" s="39"/>
      <c r="AH48" s="39"/>
      <c r="AI48" s="39"/>
      <c r="AJ48" s="39"/>
      <c r="AK48" s="39"/>
      <c r="AL48" s="39"/>
      <c r="AM48" s="39"/>
      <c r="AN48" s="43"/>
      <c r="AO48" s="43"/>
      <c r="AP48" s="39"/>
      <c r="AQ48" s="43"/>
      <c r="AR48" s="44"/>
      <c r="AS48" s="44"/>
      <c r="AT48" s="44"/>
      <c r="AU48" s="39"/>
      <c r="AV48" s="44"/>
      <c r="AW48" s="39"/>
      <c r="AX48" s="39"/>
      <c r="AY48" s="39"/>
      <c r="AZ48" s="39"/>
      <c r="BA48" s="39"/>
      <c r="BB48" s="39">
        <v>200</v>
      </c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</row>
    <row r="49" spans="1:77" ht="25.5">
      <c r="A49" s="37">
        <v>154602</v>
      </c>
      <c r="B49" s="38" t="s">
        <v>125</v>
      </c>
      <c r="C49" s="39">
        <f t="shared" si="1"/>
        <v>0</v>
      </c>
      <c r="D49" s="39"/>
      <c r="E49" s="41"/>
      <c r="F49" s="41"/>
      <c r="G49" s="41"/>
      <c r="H49" s="39"/>
      <c r="I49" s="39"/>
      <c r="J49" s="39">
        <f>K49+O49</f>
        <v>2610</v>
      </c>
      <c r="K49" s="39">
        <v>2610</v>
      </c>
      <c r="L49" s="41">
        <v>800</v>
      </c>
      <c r="M49" s="41"/>
      <c r="N49" s="41"/>
      <c r="O49" s="41"/>
      <c r="P49" s="39">
        <f>Q49+T49+Y49</f>
        <v>86986</v>
      </c>
      <c r="Q49" s="39">
        <f t="shared" si="4"/>
        <v>12172</v>
      </c>
      <c r="R49" s="39">
        <v>12172</v>
      </c>
      <c r="S49" s="39"/>
      <c r="T49" s="39">
        <f>U49+V49+W49+X49</f>
        <v>53940</v>
      </c>
      <c r="U49" s="39">
        <f>53914+5</f>
        <v>53919</v>
      </c>
      <c r="V49" s="39">
        <v>21</v>
      </c>
      <c r="W49" s="39"/>
      <c r="X49" s="39"/>
      <c r="Y49" s="39">
        <f t="shared" si="8"/>
        <v>20874</v>
      </c>
      <c r="Z49" s="39">
        <v>10981</v>
      </c>
      <c r="AA49" s="39">
        <v>9893</v>
      </c>
      <c r="AB49" s="39">
        <v>4840</v>
      </c>
      <c r="AC49" s="39">
        <v>141360</v>
      </c>
      <c r="AD49" s="39">
        <v>49400</v>
      </c>
      <c r="AE49" s="39">
        <f t="shared" si="11"/>
        <v>98496</v>
      </c>
      <c r="AF49" s="39">
        <v>68940</v>
      </c>
      <c r="AG49" s="39">
        <v>4000</v>
      </c>
      <c r="AH49" s="39">
        <v>16456</v>
      </c>
      <c r="AI49" s="39"/>
      <c r="AJ49" s="39"/>
      <c r="AK49" s="39"/>
      <c r="AL49" s="39">
        <f t="shared" si="2"/>
        <v>9100</v>
      </c>
      <c r="AM49" s="39">
        <v>9100</v>
      </c>
      <c r="AN49" s="43"/>
      <c r="AO49" s="43"/>
      <c r="AP49" s="39">
        <f>AQ49+AR49+AS49+AT49</f>
        <v>38238</v>
      </c>
      <c r="AQ49" s="43">
        <v>6255</v>
      </c>
      <c r="AR49" s="44">
        <v>8306</v>
      </c>
      <c r="AS49" s="44">
        <v>19307</v>
      </c>
      <c r="AT49" s="44">
        <f>4397-27</f>
        <v>4370</v>
      </c>
      <c r="AU49" s="39">
        <f t="shared" si="7"/>
        <v>3127</v>
      </c>
      <c r="AV49" s="44">
        <f>60+158+502</f>
        <v>720</v>
      </c>
      <c r="AW49" s="39">
        <v>2407</v>
      </c>
      <c r="AX49" s="39">
        <f t="shared" si="3"/>
        <v>23053</v>
      </c>
      <c r="AY49" s="39">
        <f>22762-309</f>
        <v>22453</v>
      </c>
      <c r="AZ49" s="39"/>
      <c r="BA49" s="39">
        <v>600</v>
      </c>
      <c r="BB49" s="39">
        <v>5500</v>
      </c>
      <c r="BC49" s="39">
        <v>4000</v>
      </c>
      <c r="BD49" s="39">
        <v>15000</v>
      </c>
      <c r="BE49" s="39">
        <v>5000</v>
      </c>
      <c r="BF49" s="39"/>
      <c r="BG49" s="39"/>
      <c r="BH49" s="39"/>
      <c r="BI49" s="39"/>
      <c r="BJ49" s="39"/>
      <c r="BK49" s="39"/>
      <c r="BL49" s="39">
        <v>85</v>
      </c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</row>
    <row r="50" spans="1:77" ht="25.5">
      <c r="A50" s="37">
        <v>155307</v>
      </c>
      <c r="B50" s="38" t="s">
        <v>126</v>
      </c>
      <c r="C50" s="39">
        <f t="shared" si="1"/>
        <v>0</v>
      </c>
      <c r="D50" s="39"/>
      <c r="E50" s="41"/>
      <c r="F50" s="41"/>
      <c r="G50" s="41"/>
      <c r="H50" s="39"/>
      <c r="I50" s="39"/>
      <c r="J50" s="39"/>
      <c r="K50" s="39"/>
      <c r="L50" s="41"/>
      <c r="M50" s="41"/>
      <c r="N50" s="41"/>
      <c r="O50" s="41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>
        <v>60500</v>
      </c>
      <c r="AD50" s="39">
        <v>10550</v>
      </c>
      <c r="AE50" s="39">
        <f t="shared" si="11"/>
        <v>20200</v>
      </c>
      <c r="AF50" s="39">
        <v>20200</v>
      </c>
      <c r="AG50" s="39"/>
      <c r="AH50" s="39"/>
      <c r="AI50" s="39"/>
      <c r="AJ50" s="39"/>
      <c r="AK50" s="39"/>
      <c r="AL50" s="39"/>
      <c r="AM50" s="39"/>
      <c r="AN50" s="43"/>
      <c r="AO50" s="43"/>
      <c r="AP50" s="39"/>
      <c r="AQ50" s="43"/>
      <c r="AR50" s="44"/>
      <c r="AS50" s="44"/>
      <c r="AT50" s="44"/>
      <c r="AU50" s="39"/>
      <c r="AV50" s="44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</row>
    <row r="51" spans="1:77" ht="25.5">
      <c r="A51" s="37">
        <v>155601</v>
      </c>
      <c r="B51" s="38" t="s">
        <v>127</v>
      </c>
      <c r="C51" s="39">
        <f t="shared" si="1"/>
        <v>0</v>
      </c>
      <c r="D51" s="39"/>
      <c r="E51" s="41"/>
      <c r="F51" s="41"/>
      <c r="G51" s="41"/>
      <c r="H51" s="39"/>
      <c r="I51" s="39"/>
      <c r="J51" s="39">
        <f t="shared" ref="J51:J56" si="14">K51+O51</f>
        <v>450</v>
      </c>
      <c r="K51" s="39">
        <v>450</v>
      </c>
      <c r="L51" s="41"/>
      <c r="M51" s="41"/>
      <c r="N51" s="41"/>
      <c r="O51" s="41"/>
      <c r="P51" s="39">
        <f>Q51+T51+Y51</f>
        <v>24742</v>
      </c>
      <c r="Q51" s="39">
        <f t="shared" si="4"/>
        <v>24272</v>
      </c>
      <c r="R51" s="39"/>
      <c r="S51" s="39">
        <v>24272</v>
      </c>
      <c r="T51" s="39">
        <f>U51+V51+W51+X51</f>
        <v>470</v>
      </c>
      <c r="U51" s="39"/>
      <c r="V51" s="39"/>
      <c r="W51" s="39">
        <v>125</v>
      </c>
      <c r="X51" s="39">
        <v>345</v>
      </c>
      <c r="Y51" s="39"/>
      <c r="Z51" s="39"/>
      <c r="AA51" s="39"/>
      <c r="AB51" s="39"/>
      <c r="AC51" s="39">
        <v>108700</v>
      </c>
      <c r="AD51" s="39">
        <v>13800</v>
      </c>
      <c r="AE51" s="39">
        <f t="shared" si="11"/>
        <v>38700</v>
      </c>
      <c r="AF51" s="39">
        <v>36500</v>
      </c>
      <c r="AG51" s="39"/>
      <c r="AH51" s="39"/>
      <c r="AI51" s="39"/>
      <c r="AJ51" s="39"/>
      <c r="AK51" s="39"/>
      <c r="AL51" s="39">
        <f t="shared" si="2"/>
        <v>2200</v>
      </c>
      <c r="AM51" s="39">
        <v>2200</v>
      </c>
      <c r="AN51" s="43"/>
      <c r="AO51" s="43"/>
      <c r="AP51" s="39"/>
      <c r="AQ51" s="43"/>
      <c r="AR51" s="44"/>
      <c r="AS51" s="44"/>
      <c r="AT51" s="44"/>
      <c r="AU51" s="39"/>
      <c r="AV51" s="44"/>
      <c r="AW51" s="39"/>
      <c r="AX51" s="39">
        <f t="shared" si="3"/>
        <v>5494</v>
      </c>
      <c r="AY51" s="39">
        <v>5494</v>
      </c>
      <c r="AZ51" s="39"/>
      <c r="BA51" s="39"/>
      <c r="BB51" s="39"/>
      <c r="BC51" s="39"/>
      <c r="BD51" s="39">
        <v>6000</v>
      </c>
      <c r="BE51" s="39">
        <f>200-200</f>
        <v>0</v>
      </c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</row>
    <row r="52" spans="1:77" ht="25.5">
      <c r="A52" s="37">
        <v>161007</v>
      </c>
      <c r="B52" s="38" t="s">
        <v>128</v>
      </c>
      <c r="C52" s="39">
        <f t="shared" si="1"/>
        <v>24100</v>
      </c>
      <c r="D52" s="39">
        <v>23984</v>
      </c>
      <c r="E52" s="41"/>
      <c r="F52" s="41"/>
      <c r="G52" s="41"/>
      <c r="H52" s="39">
        <v>116</v>
      </c>
      <c r="I52" s="39"/>
      <c r="J52" s="39">
        <f t="shared" si="14"/>
        <v>2000</v>
      </c>
      <c r="K52" s="39">
        <v>2000</v>
      </c>
      <c r="L52" s="41"/>
      <c r="M52" s="41"/>
      <c r="N52" s="41"/>
      <c r="O52" s="41"/>
      <c r="P52" s="39">
        <f>Q52+T52+Y52</f>
        <v>32261</v>
      </c>
      <c r="Q52" s="39">
        <f t="shared" si="4"/>
        <v>5822</v>
      </c>
      <c r="R52" s="39">
        <v>5822</v>
      </c>
      <c r="S52" s="39"/>
      <c r="T52" s="39">
        <f>U52+V52+W52+X52</f>
        <v>17802</v>
      </c>
      <c r="U52" s="39">
        <f>17794+1</f>
        <v>17795</v>
      </c>
      <c r="V52" s="39">
        <v>7</v>
      </c>
      <c r="W52" s="39"/>
      <c r="X52" s="39"/>
      <c r="Y52" s="39">
        <f t="shared" si="8"/>
        <v>8637</v>
      </c>
      <c r="Z52" s="39">
        <v>4904</v>
      </c>
      <c r="AA52" s="39">
        <v>3733</v>
      </c>
      <c r="AB52" s="39"/>
      <c r="AC52" s="39">
        <v>67600</v>
      </c>
      <c r="AD52" s="39">
        <v>14800</v>
      </c>
      <c r="AE52" s="39">
        <f t="shared" si="11"/>
        <v>37563</v>
      </c>
      <c r="AF52" s="39">
        <v>28500</v>
      </c>
      <c r="AG52" s="39"/>
      <c r="AH52" s="39">
        <v>5783</v>
      </c>
      <c r="AI52" s="39"/>
      <c r="AJ52" s="39"/>
      <c r="AK52" s="39"/>
      <c r="AL52" s="39">
        <f t="shared" si="2"/>
        <v>3280</v>
      </c>
      <c r="AM52" s="39">
        <v>3280</v>
      </c>
      <c r="AN52" s="43"/>
      <c r="AO52" s="43"/>
      <c r="AP52" s="39">
        <f t="shared" ref="AP52:AP53" si="15">AQ52+AR52+AS52+AT52</f>
        <v>12863</v>
      </c>
      <c r="AQ52" s="43">
        <v>2103</v>
      </c>
      <c r="AR52" s="44">
        <v>2792</v>
      </c>
      <c r="AS52" s="44">
        <v>6489</v>
      </c>
      <c r="AT52" s="44">
        <v>1479</v>
      </c>
      <c r="AU52" s="39">
        <f t="shared" si="7"/>
        <v>1993</v>
      </c>
      <c r="AV52" s="44">
        <f>30+79+251</f>
        <v>360</v>
      </c>
      <c r="AW52" s="39">
        <v>1633</v>
      </c>
      <c r="AX52" s="39">
        <f t="shared" si="3"/>
        <v>8262</v>
      </c>
      <c r="AY52" s="39">
        <f>7651-201</f>
        <v>7450</v>
      </c>
      <c r="AZ52" s="39">
        <v>412</v>
      </c>
      <c r="BA52" s="39">
        <v>400</v>
      </c>
      <c r="BB52" s="39">
        <v>3800</v>
      </c>
      <c r="BC52" s="39">
        <v>1400</v>
      </c>
      <c r="BD52" s="39">
        <v>7500</v>
      </c>
      <c r="BE52" s="39">
        <v>2700</v>
      </c>
      <c r="BF52" s="39"/>
      <c r="BG52" s="39"/>
      <c r="BH52" s="39"/>
      <c r="BI52" s="39"/>
      <c r="BJ52" s="39"/>
      <c r="BK52" s="39"/>
      <c r="BL52" s="39">
        <v>30</v>
      </c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</row>
    <row r="53" spans="1:77" ht="25.5">
      <c r="A53" s="37">
        <v>161015</v>
      </c>
      <c r="B53" s="38" t="s">
        <v>129</v>
      </c>
      <c r="C53" s="39">
        <f t="shared" si="1"/>
        <v>1370</v>
      </c>
      <c r="D53" s="42">
        <f>1470-100</f>
        <v>1370</v>
      </c>
      <c r="E53" s="41"/>
      <c r="F53" s="41"/>
      <c r="G53" s="41"/>
      <c r="H53" s="39"/>
      <c r="I53" s="39"/>
      <c r="J53" s="39">
        <f t="shared" si="14"/>
        <v>2300</v>
      </c>
      <c r="K53" s="39">
        <v>2300</v>
      </c>
      <c r="L53" s="41"/>
      <c r="M53" s="41"/>
      <c r="N53" s="41"/>
      <c r="O53" s="41"/>
      <c r="P53" s="39">
        <f>Q53+T53+Y53</f>
        <v>33036</v>
      </c>
      <c r="Q53" s="39">
        <f t="shared" si="4"/>
        <v>5710</v>
      </c>
      <c r="R53" s="39">
        <v>5710</v>
      </c>
      <c r="S53" s="39"/>
      <c r="T53" s="39">
        <f>U53+V53+W53+X53</f>
        <v>18649</v>
      </c>
      <c r="U53" s="39">
        <f>18630+2</f>
        <v>18632</v>
      </c>
      <c r="V53" s="39">
        <v>17</v>
      </c>
      <c r="W53" s="39"/>
      <c r="X53" s="39"/>
      <c r="Y53" s="39">
        <f t="shared" si="8"/>
        <v>8677</v>
      </c>
      <c r="Z53" s="39">
        <v>4620</v>
      </c>
      <c r="AA53" s="39">
        <v>4057</v>
      </c>
      <c r="AB53" s="39">
        <v>4860</v>
      </c>
      <c r="AC53" s="39">
        <v>48640</v>
      </c>
      <c r="AD53" s="39">
        <v>14900</v>
      </c>
      <c r="AE53" s="39">
        <f t="shared" si="11"/>
        <v>32903</v>
      </c>
      <c r="AF53" s="39">
        <v>23510</v>
      </c>
      <c r="AG53" s="39"/>
      <c r="AH53" s="39">
        <v>5983</v>
      </c>
      <c r="AI53" s="39"/>
      <c r="AJ53" s="39"/>
      <c r="AK53" s="39"/>
      <c r="AL53" s="39">
        <f t="shared" si="2"/>
        <v>3410</v>
      </c>
      <c r="AM53" s="39">
        <v>3410</v>
      </c>
      <c r="AN53" s="43"/>
      <c r="AO53" s="43"/>
      <c r="AP53" s="39">
        <f t="shared" si="15"/>
        <v>13504</v>
      </c>
      <c r="AQ53" s="43">
        <v>2208</v>
      </c>
      <c r="AR53" s="44">
        <v>2931</v>
      </c>
      <c r="AS53" s="44">
        <v>6812</v>
      </c>
      <c r="AT53" s="44">
        <v>1553</v>
      </c>
      <c r="AU53" s="39">
        <f t="shared" si="7"/>
        <v>882</v>
      </c>
      <c r="AV53" s="44">
        <f>10+26+84</f>
        <v>120</v>
      </c>
      <c r="AW53" s="39">
        <v>762</v>
      </c>
      <c r="AX53" s="39">
        <f t="shared" si="3"/>
        <v>8022</v>
      </c>
      <c r="AY53" s="39">
        <f>8033-211</f>
        <v>7822</v>
      </c>
      <c r="AZ53" s="39"/>
      <c r="BA53" s="39">
        <v>200</v>
      </c>
      <c r="BB53" s="39"/>
      <c r="BC53" s="39"/>
      <c r="BD53" s="39">
        <v>5000</v>
      </c>
      <c r="BE53" s="39">
        <v>1000</v>
      </c>
      <c r="BF53" s="39"/>
      <c r="BG53" s="39"/>
      <c r="BH53" s="39"/>
      <c r="BI53" s="39"/>
      <c r="BJ53" s="39"/>
      <c r="BK53" s="39"/>
      <c r="BL53" s="39">
        <v>30</v>
      </c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</row>
    <row r="54" spans="1:77" ht="25.5">
      <c r="A54" s="37">
        <v>165531</v>
      </c>
      <c r="B54" s="38" t="s">
        <v>130</v>
      </c>
      <c r="C54" s="39">
        <f t="shared" si="1"/>
        <v>0</v>
      </c>
      <c r="D54" s="39"/>
      <c r="E54" s="41"/>
      <c r="F54" s="41"/>
      <c r="G54" s="41"/>
      <c r="H54" s="39"/>
      <c r="I54" s="39"/>
      <c r="J54" s="39">
        <f t="shared" si="14"/>
        <v>750</v>
      </c>
      <c r="K54" s="39">
        <v>750</v>
      </c>
      <c r="L54" s="41"/>
      <c r="M54" s="41"/>
      <c r="N54" s="41"/>
      <c r="O54" s="41"/>
      <c r="P54" s="39">
        <f>Q54+T54+Y54</f>
        <v>25380</v>
      </c>
      <c r="Q54" s="39">
        <f t="shared" si="4"/>
        <v>25128</v>
      </c>
      <c r="R54" s="39"/>
      <c r="S54" s="39">
        <v>25128</v>
      </c>
      <c r="T54" s="39">
        <f>U54+V54+W54+X54</f>
        <v>252</v>
      </c>
      <c r="U54" s="39"/>
      <c r="V54" s="39"/>
      <c r="W54" s="39">
        <v>147</v>
      </c>
      <c r="X54" s="39">
        <v>105</v>
      </c>
      <c r="Y54" s="39"/>
      <c r="Z54" s="39"/>
      <c r="AA54" s="39"/>
      <c r="AB54" s="39"/>
      <c r="AC54" s="39">
        <v>111340</v>
      </c>
      <c r="AD54" s="39">
        <v>14100</v>
      </c>
      <c r="AE54" s="39">
        <f t="shared" si="11"/>
        <v>40110</v>
      </c>
      <c r="AF54" s="39">
        <v>37830</v>
      </c>
      <c r="AG54" s="39"/>
      <c r="AH54" s="39"/>
      <c r="AI54" s="39"/>
      <c r="AJ54" s="39"/>
      <c r="AK54" s="39"/>
      <c r="AL54" s="39">
        <f t="shared" si="2"/>
        <v>2280</v>
      </c>
      <c r="AM54" s="39">
        <v>2280</v>
      </c>
      <c r="AN54" s="43"/>
      <c r="AO54" s="43"/>
      <c r="AP54" s="39"/>
      <c r="AQ54" s="43"/>
      <c r="AR54" s="44"/>
      <c r="AS54" s="44"/>
      <c r="AT54" s="44"/>
      <c r="AU54" s="39"/>
      <c r="AV54" s="44"/>
      <c r="AW54" s="39"/>
      <c r="AX54" s="39">
        <f t="shared" si="3"/>
        <v>5611</v>
      </c>
      <c r="AY54" s="39">
        <v>5611</v>
      </c>
      <c r="AZ54" s="39"/>
      <c r="BA54" s="39"/>
      <c r="BB54" s="39"/>
      <c r="BC54" s="39"/>
      <c r="BD54" s="39">
        <v>4500</v>
      </c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</row>
    <row r="55" spans="1:77" ht="25.5">
      <c r="A55" s="37">
        <v>171004</v>
      </c>
      <c r="B55" s="38" t="s">
        <v>131</v>
      </c>
      <c r="C55" s="39">
        <f t="shared" si="1"/>
        <v>11300</v>
      </c>
      <c r="D55" s="39">
        <v>11120</v>
      </c>
      <c r="E55" s="41"/>
      <c r="F55" s="41"/>
      <c r="G55" s="41"/>
      <c r="H55" s="39">
        <v>180</v>
      </c>
      <c r="I55" s="39"/>
      <c r="J55" s="39">
        <f t="shared" si="14"/>
        <v>2500</v>
      </c>
      <c r="K55" s="39">
        <v>2500</v>
      </c>
      <c r="L55" s="41"/>
      <c r="M55" s="41"/>
      <c r="N55" s="41"/>
      <c r="O55" s="41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>
        <v>100</v>
      </c>
      <c r="AD55" s="39">
        <v>9000</v>
      </c>
      <c r="AE55" s="39">
        <f t="shared" si="11"/>
        <v>0</v>
      </c>
      <c r="AF55" s="39"/>
      <c r="AG55" s="39"/>
      <c r="AH55" s="39"/>
      <c r="AI55" s="39"/>
      <c r="AJ55" s="39"/>
      <c r="AK55" s="39"/>
      <c r="AL55" s="39"/>
      <c r="AM55" s="39"/>
      <c r="AN55" s="43"/>
      <c r="AO55" s="43"/>
      <c r="AP55" s="39"/>
      <c r="AQ55" s="43"/>
      <c r="AR55" s="44"/>
      <c r="AS55" s="44"/>
      <c r="AT55" s="44"/>
      <c r="AU55" s="39"/>
      <c r="AV55" s="44"/>
      <c r="AW55" s="39"/>
      <c r="AX55" s="39"/>
      <c r="AY55" s="39"/>
      <c r="AZ55" s="39"/>
      <c r="BA55" s="39"/>
      <c r="BB55" s="39">
        <v>1200</v>
      </c>
      <c r="BC55" s="39"/>
      <c r="BD55" s="39"/>
      <c r="BE55" s="39">
        <v>100</v>
      </c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</row>
    <row r="56" spans="1:77" ht="25.5">
      <c r="A56" s="37">
        <v>174601</v>
      </c>
      <c r="B56" s="38" t="s">
        <v>132</v>
      </c>
      <c r="C56" s="39">
        <f t="shared" si="1"/>
        <v>0</v>
      </c>
      <c r="D56" s="39"/>
      <c r="E56" s="41"/>
      <c r="F56" s="41"/>
      <c r="G56" s="41"/>
      <c r="H56" s="39"/>
      <c r="I56" s="39"/>
      <c r="J56" s="39">
        <f t="shared" si="14"/>
        <v>2600</v>
      </c>
      <c r="K56" s="39">
        <v>2600</v>
      </c>
      <c r="L56" s="41">
        <v>1200</v>
      </c>
      <c r="M56" s="41"/>
      <c r="N56" s="41"/>
      <c r="O56" s="41"/>
      <c r="P56" s="39">
        <f>Q56+T56+Y56</f>
        <v>76848</v>
      </c>
      <c r="Q56" s="39">
        <f t="shared" si="4"/>
        <v>10745</v>
      </c>
      <c r="R56" s="39">
        <v>10745</v>
      </c>
      <c r="S56" s="39"/>
      <c r="T56" s="39">
        <f>U56+V56+W56+X56</f>
        <v>47544</v>
      </c>
      <c r="U56" s="39">
        <f>47520+3</f>
        <v>47523</v>
      </c>
      <c r="V56" s="39">
        <v>21</v>
      </c>
      <c r="W56" s="39"/>
      <c r="X56" s="39"/>
      <c r="Y56" s="39">
        <f t="shared" si="8"/>
        <v>18559</v>
      </c>
      <c r="Z56" s="39">
        <v>9750</v>
      </c>
      <c r="AA56" s="39">
        <v>8809</v>
      </c>
      <c r="AB56" s="39">
        <v>4860</v>
      </c>
      <c r="AC56" s="39">
        <v>122590</v>
      </c>
      <c r="AD56" s="39">
        <v>43540</v>
      </c>
      <c r="AE56" s="39">
        <f t="shared" si="11"/>
        <v>84217</v>
      </c>
      <c r="AF56" s="39">
        <v>57640</v>
      </c>
      <c r="AG56" s="39">
        <v>4000</v>
      </c>
      <c r="AH56" s="39">
        <v>14537</v>
      </c>
      <c r="AI56" s="39"/>
      <c r="AJ56" s="39"/>
      <c r="AK56" s="39"/>
      <c r="AL56" s="39">
        <f t="shared" si="2"/>
        <v>8040</v>
      </c>
      <c r="AM56" s="39">
        <v>8040</v>
      </c>
      <c r="AN56" s="43"/>
      <c r="AO56" s="43"/>
      <c r="AP56" s="39">
        <f>AQ56+AR56+AS56+AT56</f>
        <v>33774</v>
      </c>
      <c r="AQ56" s="43">
        <v>5523</v>
      </c>
      <c r="AR56" s="44">
        <v>7331</v>
      </c>
      <c r="AS56" s="44">
        <v>17037</v>
      </c>
      <c r="AT56" s="44">
        <v>3883</v>
      </c>
      <c r="AU56" s="39">
        <f t="shared" si="7"/>
        <v>2985</v>
      </c>
      <c r="AV56" s="44">
        <f>80+210+670</f>
        <v>960</v>
      </c>
      <c r="AW56" s="39">
        <v>2025</v>
      </c>
      <c r="AX56" s="39">
        <f t="shared" si="3"/>
        <v>20778</v>
      </c>
      <c r="AY56" s="39">
        <f>20089-211</f>
        <v>19878</v>
      </c>
      <c r="AZ56" s="39"/>
      <c r="BA56" s="39">
        <v>900</v>
      </c>
      <c r="BB56" s="39">
        <v>5000</v>
      </c>
      <c r="BC56" s="39">
        <v>3000</v>
      </c>
      <c r="BD56" s="39">
        <v>10000</v>
      </c>
      <c r="BE56" s="39">
        <v>3000</v>
      </c>
      <c r="BF56" s="39"/>
      <c r="BG56" s="39"/>
      <c r="BH56" s="39"/>
      <c r="BI56" s="39"/>
      <c r="BJ56" s="39"/>
      <c r="BK56" s="39"/>
      <c r="BL56" s="39">
        <v>80</v>
      </c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</row>
    <row r="57" spans="1:77" ht="25.5">
      <c r="A57" s="37">
        <v>175303</v>
      </c>
      <c r="B57" s="38" t="s">
        <v>133</v>
      </c>
      <c r="C57" s="39">
        <f t="shared" si="1"/>
        <v>0</v>
      </c>
      <c r="D57" s="39"/>
      <c r="E57" s="41"/>
      <c r="F57" s="41"/>
      <c r="G57" s="41"/>
      <c r="H57" s="39"/>
      <c r="I57" s="39"/>
      <c r="J57" s="39"/>
      <c r="K57" s="39"/>
      <c r="L57" s="41"/>
      <c r="M57" s="41"/>
      <c r="N57" s="41"/>
      <c r="O57" s="41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>
        <v>32120</v>
      </c>
      <c r="AD57" s="39">
        <v>5330</v>
      </c>
      <c r="AE57" s="39">
        <f t="shared" si="11"/>
        <v>20500</v>
      </c>
      <c r="AF57" s="39">
        <v>20500</v>
      </c>
      <c r="AG57" s="39"/>
      <c r="AH57" s="39"/>
      <c r="AI57" s="39"/>
      <c r="AJ57" s="39"/>
      <c r="AK57" s="39"/>
      <c r="AL57" s="39"/>
      <c r="AM57" s="39"/>
      <c r="AN57" s="43"/>
      <c r="AO57" s="43"/>
      <c r="AP57" s="39"/>
      <c r="AQ57" s="43"/>
      <c r="AR57" s="44"/>
      <c r="AS57" s="44"/>
      <c r="AT57" s="44"/>
      <c r="AU57" s="39"/>
      <c r="AV57" s="44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</row>
    <row r="58" spans="1:77" ht="25.5">
      <c r="A58" s="37">
        <v>175603</v>
      </c>
      <c r="B58" s="38" t="s">
        <v>134</v>
      </c>
      <c r="C58" s="39">
        <f t="shared" si="1"/>
        <v>0</v>
      </c>
      <c r="D58" s="39"/>
      <c r="E58" s="41"/>
      <c r="F58" s="41"/>
      <c r="G58" s="41"/>
      <c r="H58" s="39"/>
      <c r="I58" s="39"/>
      <c r="J58" s="39">
        <f>K58+O58</f>
        <v>350</v>
      </c>
      <c r="K58" s="39">
        <v>350</v>
      </c>
      <c r="L58" s="41"/>
      <c r="M58" s="41"/>
      <c r="N58" s="41"/>
      <c r="O58" s="41"/>
      <c r="P58" s="39">
        <f>Q58+T58+Y58</f>
        <v>18936</v>
      </c>
      <c r="Q58" s="39">
        <f t="shared" si="4"/>
        <v>18771</v>
      </c>
      <c r="R58" s="39"/>
      <c r="S58" s="39">
        <v>18771</v>
      </c>
      <c r="T58" s="39">
        <f>U58+V58+W58+X58</f>
        <v>165</v>
      </c>
      <c r="U58" s="39"/>
      <c r="V58" s="39"/>
      <c r="W58" s="39">
        <v>165</v>
      </c>
      <c r="X58" s="39"/>
      <c r="Y58" s="39"/>
      <c r="Z58" s="39"/>
      <c r="AA58" s="39"/>
      <c r="AB58" s="39"/>
      <c r="AC58" s="39">
        <v>89310</v>
      </c>
      <c r="AD58" s="39">
        <v>11300</v>
      </c>
      <c r="AE58" s="39">
        <f t="shared" si="11"/>
        <v>32510</v>
      </c>
      <c r="AF58" s="39">
        <v>30810</v>
      </c>
      <c r="AG58" s="39"/>
      <c r="AH58" s="39"/>
      <c r="AI58" s="39"/>
      <c r="AJ58" s="39"/>
      <c r="AK58" s="39"/>
      <c r="AL58" s="39">
        <f t="shared" si="2"/>
        <v>1700</v>
      </c>
      <c r="AM58" s="39">
        <v>1700</v>
      </c>
      <c r="AN58" s="43"/>
      <c r="AO58" s="43"/>
      <c r="AP58" s="39"/>
      <c r="AQ58" s="43"/>
      <c r="AR58" s="44"/>
      <c r="AS58" s="44"/>
      <c r="AT58" s="44"/>
      <c r="AU58" s="39"/>
      <c r="AV58" s="44"/>
      <c r="AW58" s="39"/>
      <c r="AX58" s="39">
        <f t="shared" si="3"/>
        <v>4629</v>
      </c>
      <c r="AY58" s="39">
        <v>4511</v>
      </c>
      <c r="AZ58" s="39"/>
      <c r="BA58" s="39">
        <v>118</v>
      </c>
      <c r="BB58" s="39"/>
      <c r="BC58" s="39"/>
      <c r="BD58" s="39">
        <v>3100</v>
      </c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</row>
    <row r="59" spans="1:77" ht="38.25">
      <c r="A59" s="37">
        <v>184551</v>
      </c>
      <c r="B59" s="38" t="s">
        <v>135</v>
      </c>
      <c r="C59" s="39">
        <f t="shared" si="1"/>
        <v>0</v>
      </c>
      <c r="D59" s="39"/>
      <c r="E59" s="41"/>
      <c r="F59" s="41"/>
      <c r="G59" s="41"/>
      <c r="H59" s="39"/>
      <c r="I59" s="39"/>
      <c r="J59" s="39">
        <f>K59+O59</f>
        <v>0</v>
      </c>
      <c r="K59" s="39"/>
      <c r="L59" s="41"/>
      <c r="M59" s="41"/>
      <c r="N59" s="41"/>
      <c r="O59" s="41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>
        <v>370</v>
      </c>
      <c r="AD59" s="39">
        <v>10</v>
      </c>
      <c r="AE59" s="39">
        <f t="shared" si="11"/>
        <v>650</v>
      </c>
      <c r="AF59" s="39">
        <v>650</v>
      </c>
      <c r="AG59" s="39"/>
      <c r="AH59" s="39"/>
      <c r="AI59" s="39"/>
      <c r="AJ59" s="39"/>
      <c r="AK59" s="39"/>
      <c r="AL59" s="39"/>
      <c r="AM59" s="39"/>
      <c r="AN59" s="43"/>
      <c r="AO59" s="43"/>
      <c r="AP59" s="39"/>
      <c r="AQ59" s="43"/>
      <c r="AR59" s="44"/>
      <c r="AS59" s="44"/>
      <c r="AT59" s="44"/>
      <c r="AU59" s="39"/>
      <c r="AV59" s="44"/>
      <c r="AW59" s="39"/>
      <c r="AX59" s="39"/>
      <c r="AY59" s="39"/>
      <c r="AZ59" s="39"/>
      <c r="BA59" s="39"/>
      <c r="BB59" s="39"/>
      <c r="BC59" s="39"/>
      <c r="BD59" s="39">
        <v>700</v>
      </c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</row>
    <row r="60" spans="1:77" ht="25.5">
      <c r="A60" s="37">
        <v>184603</v>
      </c>
      <c r="B60" s="38" t="s">
        <v>136</v>
      </c>
      <c r="C60" s="39">
        <f t="shared" si="1"/>
        <v>0</v>
      </c>
      <c r="D60" s="39"/>
      <c r="E60" s="41"/>
      <c r="F60" s="41"/>
      <c r="G60" s="41"/>
      <c r="H60" s="39"/>
      <c r="I60" s="39"/>
      <c r="J60" s="39">
        <f>K60+O60</f>
        <v>2310</v>
      </c>
      <c r="K60" s="39">
        <v>2310</v>
      </c>
      <c r="L60" s="41"/>
      <c r="M60" s="41"/>
      <c r="N60" s="41"/>
      <c r="O60" s="41"/>
      <c r="P60" s="39">
        <f>Q60+T60+Y60</f>
        <v>47706</v>
      </c>
      <c r="Q60" s="39">
        <f t="shared" si="4"/>
        <v>7439</v>
      </c>
      <c r="R60" s="39">
        <v>7439</v>
      </c>
      <c r="S60" s="39"/>
      <c r="T60" s="39">
        <f>U60+V60+W60+X60</f>
        <v>28763</v>
      </c>
      <c r="U60" s="39">
        <f>28652+2</f>
        <v>28654</v>
      </c>
      <c r="V60" s="39">
        <v>109</v>
      </c>
      <c r="W60" s="39"/>
      <c r="X60" s="39"/>
      <c r="Y60" s="39">
        <f t="shared" si="8"/>
        <v>11504</v>
      </c>
      <c r="Z60" s="39">
        <v>6525</v>
      </c>
      <c r="AA60" s="39">
        <v>4979</v>
      </c>
      <c r="AB60" s="39">
        <v>4660</v>
      </c>
      <c r="AC60" s="39">
        <v>76970</v>
      </c>
      <c r="AD60" s="39">
        <v>25100</v>
      </c>
      <c r="AE60" s="39">
        <f t="shared" si="11"/>
        <v>54088</v>
      </c>
      <c r="AF60" s="39">
        <v>40260</v>
      </c>
      <c r="AG60" s="39"/>
      <c r="AH60" s="39">
        <v>8848</v>
      </c>
      <c r="AI60" s="39"/>
      <c r="AJ60" s="39"/>
      <c r="AK60" s="39"/>
      <c r="AL60" s="39">
        <f t="shared" si="2"/>
        <v>4980</v>
      </c>
      <c r="AM60" s="39">
        <v>4980</v>
      </c>
      <c r="AN60" s="43"/>
      <c r="AO60" s="43"/>
      <c r="AP60" s="39">
        <f>AQ60+AR60+AS60+AT60</f>
        <v>21064</v>
      </c>
      <c r="AQ60" s="43">
        <v>3444</v>
      </c>
      <c r="AR60" s="44">
        <v>4572</v>
      </c>
      <c r="AS60" s="44">
        <v>10626</v>
      </c>
      <c r="AT60" s="44">
        <v>2422</v>
      </c>
      <c r="AU60" s="39">
        <f t="shared" si="7"/>
        <v>1667</v>
      </c>
      <c r="AV60" s="44">
        <f>30+79+251</f>
        <v>360</v>
      </c>
      <c r="AW60" s="39">
        <v>1307</v>
      </c>
      <c r="AX60" s="39">
        <f t="shared" si="3"/>
        <v>12654</v>
      </c>
      <c r="AY60" s="39">
        <f>12529-175</f>
        <v>12354</v>
      </c>
      <c r="AZ60" s="39"/>
      <c r="BA60" s="39">
        <v>300</v>
      </c>
      <c r="BB60" s="39"/>
      <c r="BC60" s="39"/>
      <c r="BD60" s="39">
        <v>6000</v>
      </c>
      <c r="BE60" s="39">
        <v>2500</v>
      </c>
      <c r="BF60" s="39"/>
      <c r="BG60" s="39"/>
      <c r="BH60" s="39"/>
      <c r="BI60" s="39"/>
      <c r="BJ60" s="39"/>
      <c r="BK60" s="39"/>
      <c r="BL60" s="39">
        <v>40</v>
      </c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</row>
    <row r="61" spans="1:77" ht="25.5">
      <c r="A61" s="37">
        <v>185402</v>
      </c>
      <c r="B61" s="38" t="s">
        <v>137</v>
      </c>
      <c r="C61" s="39">
        <f t="shared" si="1"/>
        <v>0</v>
      </c>
      <c r="D61" s="39"/>
      <c r="E61" s="41"/>
      <c r="F61" s="41"/>
      <c r="G61" s="41"/>
      <c r="H61" s="39"/>
      <c r="I61" s="39"/>
      <c r="J61" s="39">
        <f>K61+O61</f>
        <v>200</v>
      </c>
      <c r="K61" s="39">
        <v>200</v>
      </c>
      <c r="L61" s="41"/>
      <c r="M61" s="41"/>
      <c r="N61" s="41"/>
      <c r="O61" s="41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>
        <f>60000-1500</f>
        <v>58500</v>
      </c>
      <c r="AD61" s="39">
        <f>8950-500</f>
        <v>8450</v>
      </c>
      <c r="AE61" s="39">
        <f t="shared" si="11"/>
        <v>15750</v>
      </c>
      <c r="AF61" s="39">
        <f>16000-250</f>
        <v>15750</v>
      </c>
      <c r="AG61" s="39"/>
      <c r="AH61" s="39"/>
      <c r="AI61" s="39"/>
      <c r="AJ61" s="39"/>
      <c r="AK61" s="39"/>
      <c r="AL61" s="39"/>
      <c r="AM61" s="39"/>
      <c r="AN61" s="43"/>
      <c r="AO61" s="43"/>
      <c r="AP61" s="39"/>
      <c r="AQ61" s="43"/>
      <c r="AR61" s="44"/>
      <c r="AS61" s="44"/>
      <c r="AT61" s="44"/>
      <c r="AU61" s="39"/>
      <c r="AV61" s="44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</row>
    <row r="62" spans="1:77" ht="25.5">
      <c r="A62" s="37">
        <v>185515</v>
      </c>
      <c r="B62" s="38" t="s">
        <v>138</v>
      </c>
      <c r="C62" s="39">
        <f t="shared" si="1"/>
        <v>0</v>
      </c>
      <c r="D62" s="39"/>
      <c r="E62" s="41"/>
      <c r="F62" s="41"/>
      <c r="G62" s="41"/>
      <c r="H62" s="39"/>
      <c r="I62" s="39"/>
      <c r="J62" s="39"/>
      <c r="K62" s="39"/>
      <c r="L62" s="41"/>
      <c r="M62" s="41"/>
      <c r="N62" s="41"/>
      <c r="O62" s="41"/>
      <c r="P62" s="39">
        <f>Q62+T62+Y62</f>
        <v>19042</v>
      </c>
      <c r="Q62" s="39">
        <f t="shared" si="4"/>
        <v>18639</v>
      </c>
      <c r="R62" s="39"/>
      <c r="S62" s="39">
        <v>18639</v>
      </c>
      <c r="T62" s="39">
        <f>U62+V62+W62+X62</f>
        <v>403</v>
      </c>
      <c r="U62" s="39"/>
      <c r="V62" s="39"/>
      <c r="W62" s="39">
        <v>91</v>
      </c>
      <c r="X62" s="39">
        <v>312</v>
      </c>
      <c r="Y62" s="39"/>
      <c r="Z62" s="39"/>
      <c r="AA62" s="39"/>
      <c r="AB62" s="39"/>
      <c r="AC62" s="39">
        <v>85100</v>
      </c>
      <c r="AD62" s="39">
        <v>10800</v>
      </c>
      <c r="AE62" s="39">
        <f t="shared" si="11"/>
        <v>30290</v>
      </c>
      <c r="AF62" s="39">
        <v>28600</v>
      </c>
      <c r="AG62" s="39"/>
      <c r="AH62" s="39"/>
      <c r="AI62" s="39"/>
      <c r="AJ62" s="39"/>
      <c r="AK62" s="39"/>
      <c r="AL62" s="39">
        <f t="shared" si="2"/>
        <v>1690</v>
      </c>
      <c r="AM62" s="39">
        <v>1690</v>
      </c>
      <c r="AN62" s="43"/>
      <c r="AO62" s="43"/>
      <c r="AP62" s="39">
        <f t="shared" ref="AP62" si="16">AQ62+AR62+AS62+AT62</f>
        <v>27</v>
      </c>
      <c r="AQ62" s="43"/>
      <c r="AR62" s="44"/>
      <c r="AS62" s="44"/>
      <c r="AT62" s="44">
        <v>27</v>
      </c>
      <c r="AU62" s="39"/>
      <c r="AV62" s="44"/>
      <c r="AW62" s="39"/>
      <c r="AX62" s="39">
        <f t="shared" si="3"/>
        <v>4369</v>
      </c>
      <c r="AY62" s="39">
        <v>4303</v>
      </c>
      <c r="AZ62" s="39"/>
      <c r="BA62" s="39">
        <v>66</v>
      </c>
      <c r="BB62" s="39"/>
      <c r="BC62" s="39"/>
      <c r="BD62" s="39">
        <v>2000</v>
      </c>
      <c r="BE62" s="39">
        <v>600</v>
      </c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</row>
    <row r="63" spans="1:77" ht="25.5">
      <c r="A63" s="37">
        <v>185904</v>
      </c>
      <c r="B63" s="38" t="s">
        <v>139</v>
      </c>
      <c r="C63" s="39">
        <f t="shared" si="1"/>
        <v>0</v>
      </c>
      <c r="D63" s="39"/>
      <c r="E63" s="41"/>
      <c r="F63" s="41"/>
      <c r="G63" s="41"/>
      <c r="H63" s="39"/>
      <c r="I63" s="39"/>
      <c r="J63" s="39"/>
      <c r="K63" s="39"/>
      <c r="L63" s="41"/>
      <c r="M63" s="41"/>
      <c r="N63" s="41"/>
      <c r="O63" s="41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>
        <v>37900</v>
      </c>
      <c r="AD63" s="39">
        <v>600</v>
      </c>
      <c r="AE63" s="39">
        <f t="shared" si="11"/>
        <v>8200</v>
      </c>
      <c r="AF63" s="39">
        <v>8200</v>
      </c>
      <c r="AG63" s="39"/>
      <c r="AH63" s="39"/>
      <c r="AI63" s="39"/>
      <c r="AJ63" s="39"/>
      <c r="AK63" s="39"/>
      <c r="AL63" s="39"/>
      <c r="AM63" s="39"/>
      <c r="AN63" s="43"/>
      <c r="AO63" s="43"/>
      <c r="AP63" s="39"/>
      <c r="AQ63" s="43"/>
      <c r="AR63" s="44"/>
      <c r="AS63" s="44"/>
      <c r="AT63" s="44"/>
      <c r="AU63" s="39"/>
      <c r="AV63" s="44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</row>
    <row r="64" spans="1:77" ht="63.75">
      <c r="A64" s="37">
        <v>185905</v>
      </c>
      <c r="B64" s="38" t="s">
        <v>140</v>
      </c>
      <c r="C64" s="39">
        <f t="shared" si="1"/>
        <v>1100</v>
      </c>
      <c r="D64" s="39">
        <v>1054</v>
      </c>
      <c r="E64" s="41"/>
      <c r="F64" s="41">
        <v>24</v>
      </c>
      <c r="G64" s="41"/>
      <c r="H64" s="39">
        <v>46</v>
      </c>
      <c r="I64" s="39"/>
      <c r="J64" s="39">
        <f t="shared" ref="J64:J71" si="17">K64+O64</f>
        <v>740</v>
      </c>
      <c r="K64" s="39">
        <v>740</v>
      </c>
      <c r="L64" s="41"/>
      <c r="M64" s="41">
        <v>740</v>
      </c>
      <c r="N64" s="41"/>
      <c r="O64" s="41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43"/>
      <c r="AO64" s="43"/>
      <c r="AP64" s="39"/>
      <c r="AQ64" s="43"/>
      <c r="AR64" s="44"/>
      <c r="AS64" s="44"/>
      <c r="AT64" s="44"/>
      <c r="AU64" s="39"/>
      <c r="AV64" s="44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</row>
    <row r="65" spans="1:77" ht="63.75">
      <c r="A65" s="37">
        <v>185906</v>
      </c>
      <c r="B65" s="38" t="s">
        <v>141</v>
      </c>
      <c r="C65" s="39">
        <f t="shared" si="1"/>
        <v>0</v>
      </c>
      <c r="D65" s="39"/>
      <c r="E65" s="41"/>
      <c r="F65" s="41"/>
      <c r="G65" s="41"/>
      <c r="H65" s="39"/>
      <c r="I65" s="39"/>
      <c r="J65" s="39">
        <f t="shared" si="17"/>
        <v>200</v>
      </c>
      <c r="K65" s="39">
        <v>200</v>
      </c>
      <c r="L65" s="41"/>
      <c r="M65" s="41"/>
      <c r="N65" s="41"/>
      <c r="O65" s="41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>
        <v>380</v>
      </c>
      <c r="AD65" s="39"/>
      <c r="AE65" s="39">
        <f t="shared" ref="AE65:AE119" si="18">AF65+AG65+AH65+AI65+AL65</f>
        <v>1220</v>
      </c>
      <c r="AF65" s="39">
        <v>1220</v>
      </c>
      <c r="AG65" s="39"/>
      <c r="AH65" s="39"/>
      <c r="AI65" s="39"/>
      <c r="AJ65" s="39"/>
      <c r="AK65" s="39"/>
      <c r="AL65" s="39"/>
      <c r="AM65" s="39"/>
      <c r="AN65" s="43"/>
      <c r="AO65" s="43"/>
      <c r="AP65" s="39"/>
      <c r="AQ65" s="43"/>
      <c r="AR65" s="44"/>
      <c r="AS65" s="44"/>
      <c r="AT65" s="44"/>
      <c r="AU65" s="39"/>
      <c r="AV65" s="44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</row>
    <row r="66" spans="1:77" ht="25.5">
      <c r="A66" s="37">
        <v>186002</v>
      </c>
      <c r="B66" s="38" t="s">
        <v>142</v>
      </c>
      <c r="C66" s="39">
        <f t="shared" si="1"/>
        <v>2460</v>
      </c>
      <c r="D66" s="42">
        <f>2350+110</f>
        <v>2460</v>
      </c>
      <c r="E66" s="41"/>
      <c r="F66" s="41"/>
      <c r="G66" s="41"/>
      <c r="H66" s="39"/>
      <c r="I66" s="39"/>
      <c r="J66" s="39">
        <f t="shared" si="17"/>
        <v>1000</v>
      </c>
      <c r="K66" s="39">
        <v>1000</v>
      </c>
      <c r="L66" s="41"/>
      <c r="M66" s="41"/>
      <c r="N66" s="41"/>
      <c r="O66" s="41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>
        <v>97500</v>
      </c>
      <c r="AD66" s="39">
        <v>1400</v>
      </c>
      <c r="AE66" s="39">
        <f t="shared" si="18"/>
        <v>17000</v>
      </c>
      <c r="AF66" s="39">
        <v>17000</v>
      </c>
      <c r="AG66" s="39"/>
      <c r="AH66" s="39"/>
      <c r="AI66" s="39"/>
      <c r="AJ66" s="39"/>
      <c r="AK66" s="39"/>
      <c r="AL66" s="39"/>
      <c r="AM66" s="39"/>
      <c r="AN66" s="43"/>
      <c r="AO66" s="43"/>
      <c r="AP66" s="39"/>
      <c r="AQ66" s="43"/>
      <c r="AR66" s="44"/>
      <c r="AS66" s="44"/>
      <c r="AT66" s="44"/>
      <c r="AU66" s="39"/>
      <c r="AV66" s="44"/>
      <c r="AW66" s="39"/>
      <c r="AX66" s="39">
        <f t="shared" si="3"/>
        <v>645</v>
      </c>
      <c r="AY66" s="39"/>
      <c r="AZ66" s="39">
        <v>645</v>
      </c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</row>
    <row r="67" spans="1:77" ht="25.5">
      <c r="A67" s="37">
        <v>251001</v>
      </c>
      <c r="B67" s="38" t="s">
        <v>143</v>
      </c>
      <c r="C67" s="39">
        <f t="shared" si="1"/>
        <v>19150</v>
      </c>
      <c r="D67" s="39">
        <v>18983</v>
      </c>
      <c r="E67" s="41"/>
      <c r="F67" s="41">
        <v>1168</v>
      </c>
      <c r="G67" s="41"/>
      <c r="H67" s="39">
        <v>167</v>
      </c>
      <c r="I67" s="39"/>
      <c r="J67" s="39">
        <f t="shared" si="17"/>
        <v>2950</v>
      </c>
      <c r="K67" s="39">
        <v>2950</v>
      </c>
      <c r="L67" s="41">
        <v>950</v>
      </c>
      <c r="M67" s="41"/>
      <c r="N67" s="41"/>
      <c r="O67" s="41"/>
      <c r="P67" s="39">
        <f>Q67+T67+Y67</f>
        <v>47324</v>
      </c>
      <c r="Q67" s="39">
        <f t="shared" si="4"/>
        <v>6662</v>
      </c>
      <c r="R67" s="39">
        <v>6662</v>
      </c>
      <c r="S67" s="39"/>
      <c r="T67" s="39">
        <f>U67+V67+W67+X67</f>
        <v>29490</v>
      </c>
      <c r="U67" s="39">
        <f>29463+2</f>
        <v>29465</v>
      </c>
      <c r="V67" s="39">
        <v>25</v>
      </c>
      <c r="W67" s="39"/>
      <c r="X67" s="39"/>
      <c r="Y67" s="39">
        <f t="shared" si="8"/>
        <v>11172</v>
      </c>
      <c r="Z67" s="39">
        <v>5729</v>
      </c>
      <c r="AA67" s="39">
        <v>5443</v>
      </c>
      <c r="AB67" s="39">
        <v>4660</v>
      </c>
      <c r="AC67" s="39">
        <v>82860</v>
      </c>
      <c r="AD67" s="39">
        <v>24180</v>
      </c>
      <c r="AE67" s="39">
        <f t="shared" si="18"/>
        <v>57358</v>
      </c>
      <c r="AF67" s="39">
        <v>39450</v>
      </c>
      <c r="AG67" s="39">
        <v>4000</v>
      </c>
      <c r="AH67" s="39">
        <v>8948</v>
      </c>
      <c r="AI67" s="39"/>
      <c r="AJ67" s="39"/>
      <c r="AK67" s="39"/>
      <c r="AL67" s="39">
        <f t="shared" si="2"/>
        <v>4960</v>
      </c>
      <c r="AM67" s="39">
        <v>4960</v>
      </c>
      <c r="AN67" s="43"/>
      <c r="AO67" s="43"/>
      <c r="AP67" s="39">
        <f t="shared" ref="AP67:AP69" si="19">AQ67+AR67+AS67+AT67</f>
        <v>21386</v>
      </c>
      <c r="AQ67" s="43">
        <v>3499</v>
      </c>
      <c r="AR67" s="44">
        <v>4644</v>
      </c>
      <c r="AS67" s="44">
        <v>10794</v>
      </c>
      <c r="AT67" s="44">
        <f>2460-11</f>
        <v>2449</v>
      </c>
      <c r="AU67" s="39">
        <f t="shared" si="7"/>
        <v>2113</v>
      </c>
      <c r="AV67" s="44">
        <f>40+105+335</f>
        <v>480</v>
      </c>
      <c r="AW67" s="39">
        <v>1633</v>
      </c>
      <c r="AX67" s="39">
        <f t="shared" si="3"/>
        <v>13027</v>
      </c>
      <c r="AY67" s="39">
        <f>12727-148</f>
        <v>12579</v>
      </c>
      <c r="AZ67" s="39">
        <v>148</v>
      </c>
      <c r="BA67" s="39">
        <v>300</v>
      </c>
      <c r="BB67" s="39">
        <v>8500</v>
      </c>
      <c r="BC67" s="42">
        <f>1500+500</f>
        <v>2000</v>
      </c>
      <c r="BD67" s="39">
        <v>12500</v>
      </c>
      <c r="BE67" s="39">
        <v>1700</v>
      </c>
      <c r="BF67" s="39"/>
      <c r="BG67" s="39"/>
      <c r="BH67" s="39"/>
      <c r="BI67" s="39"/>
      <c r="BJ67" s="39"/>
      <c r="BK67" s="39"/>
      <c r="BL67" s="39">
        <v>50</v>
      </c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</row>
    <row r="68" spans="1:77" ht="25.5">
      <c r="A68" s="37">
        <v>251002</v>
      </c>
      <c r="B68" s="38" t="s">
        <v>144</v>
      </c>
      <c r="C68" s="39">
        <f t="shared" si="1"/>
        <v>12800</v>
      </c>
      <c r="D68" s="42">
        <f>12300-300</f>
        <v>12000</v>
      </c>
      <c r="E68" s="41"/>
      <c r="F68" s="41"/>
      <c r="G68" s="41"/>
      <c r="H68" s="39"/>
      <c r="I68" s="39">
        <v>800</v>
      </c>
      <c r="J68" s="39">
        <f t="shared" si="17"/>
        <v>2400</v>
      </c>
      <c r="K68" s="39">
        <v>2400</v>
      </c>
      <c r="L68" s="41">
        <v>1400</v>
      </c>
      <c r="M68" s="41"/>
      <c r="N68" s="41"/>
      <c r="O68" s="41"/>
      <c r="P68" s="39">
        <f>Q68+T68+Y68</f>
        <v>33328</v>
      </c>
      <c r="Q68" s="39">
        <f t="shared" si="4"/>
        <v>4553</v>
      </c>
      <c r="R68" s="39">
        <v>4553</v>
      </c>
      <c r="S68" s="39"/>
      <c r="T68" s="39">
        <f>U68+V68+W68+X68</f>
        <v>21107</v>
      </c>
      <c r="U68" s="39">
        <f>21080+2</f>
        <v>21082</v>
      </c>
      <c r="V68" s="39">
        <v>25</v>
      </c>
      <c r="W68" s="39"/>
      <c r="X68" s="39"/>
      <c r="Y68" s="39">
        <f t="shared" si="8"/>
        <v>7668</v>
      </c>
      <c r="Z68" s="39">
        <v>4036</v>
      </c>
      <c r="AA68" s="39">
        <v>3632</v>
      </c>
      <c r="AB68" s="39">
        <v>2800</v>
      </c>
      <c r="AC68" s="39">
        <v>61940</v>
      </c>
      <c r="AD68" s="39">
        <v>17000</v>
      </c>
      <c r="AE68" s="39">
        <f t="shared" si="18"/>
        <v>41968</v>
      </c>
      <c r="AF68" s="39">
        <v>28120</v>
      </c>
      <c r="AG68" s="39">
        <v>4000</v>
      </c>
      <c r="AH68" s="39">
        <v>6338</v>
      </c>
      <c r="AI68" s="39"/>
      <c r="AJ68" s="39"/>
      <c r="AK68" s="39"/>
      <c r="AL68" s="39">
        <f t="shared" si="2"/>
        <v>3510</v>
      </c>
      <c r="AM68" s="39">
        <v>3510</v>
      </c>
      <c r="AN68" s="43"/>
      <c r="AO68" s="43"/>
      <c r="AP68" s="39">
        <f t="shared" si="19"/>
        <v>14575</v>
      </c>
      <c r="AQ68" s="43">
        <v>2383</v>
      </c>
      <c r="AR68" s="44">
        <v>3164</v>
      </c>
      <c r="AS68" s="44">
        <v>7352</v>
      </c>
      <c r="AT68" s="44">
        <v>1676</v>
      </c>
      <c r="AU68" s="39">
        <f t="shared" si="7"/>
        <v>1776</v>
      </c>
      <c r="AV68" s="44">
        <f>30+79+251</f>
        <v>360</v>
      </c>
      <c r="AW68" s="39">
        <v>1416</v>
      </c>
      <c r="AX68" s="39">
        <f t="shared" si="3"/>
        <v>9119</v>
      </c>
      <c r="AY68" s="39">
        <f>8669-183</f>
        <v>8486</v>
      </c>
      <c r="AZ68" s="39">
        <v>183</v>
      </c>
      <c r="BA68" s="39">
        <v>450</v>
      </c>
      <c r="BB68" s="42">
        <f>1700+620</f>
        <v>2320</v>
      </c>
      <c r="BC68" s="42">
        <f>1000-500</f>
        <v>500</v>
      </c>
      <c r="BD68" s="39">
        <v>7600</v>
      </c>
      <c r="BE68" s="39">
        <v>1600</v>
      </c>
      <c r="BF68" s="39"/>
      <c r="BG68" s="39"/>
      <c r="BH68" s="39"/>
      <c r="BI68" s="39"/>
      <c r="BJ68" s="39"/>
      <c r="BK68" s="39"/>
      <c r="BL68" s="39">
        <v>35</v>
      </c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</row>
    <row r="69" spans="1:77" ht="25.5">
      <c r="A69" s="37">
        <v>251003</v>
      </c>
      <c r="B69" s="38" t="s">
        <v>145</v>
      </c>
      <c r="C69" s="39">
        <f t="shared" si="1"/>
        <v>2100</v>
      </c>
      <c r="D69" s="39">
        <v>2100</v>
      </c>
      <c r="E69" s="41"/>
      <c r="F69" s="41"/>
      <c r="G69" s="41"/>
      <c r="H69" s="39"/>
      <c r="I69" s="39"/>
      <c r="J69" s="39">
        <f t="shared" si="17"/>
        <v>1600</v>
      </c>
      <c r="K69" s="39">
        <v>1600</v>
      </c>
      <c r="L69" s="41"/>
      <c r="M69" s="41"/>
      <c r="N69" s="41"/>
      <c r="O69" s="41"/>
      <c r="P69" s="39">
        <f>Q69+T69+Y69</f>
        <v>47272</v>
      </c>
      <c r="Q69" s="39">
        <f t="shared" si="4"/>
        <v>6389</v>
      </c>
      <c r="R69" s="39">
        <v>6389</v>
      </c>
      <c r="S69" s="39"/>
      <c r="T69" s="39">
        <f>U69+V69+W69+X69</f>
        <v>29743</v>
      </c>
      <c r="U69" s="39">
        <f>29658+3</f>
        <v>29661</v>
      </c>
      <c r="V69" s="39">
        <v>82</v>
      </c>
      <c r="W69" s="39"/>
      <c r="X69" s="39"/>
      <c r="Y69" s="39">
        <f t="shared" si="8"/>
        <v>11140</v>
      </c>
      <c r="Z69" s="39">
        <v>5950</v>
      </c>
      <c r="AA69" s="39">
        <v>5190</v>
      </c>
      <c r="AB69" s="39">
        <v>4660</v>
      </c>
      <c r="AC69" s="39">
        <v>85290</v>
      </c>
      <c r="AD69" s="39">
        <v>23270</v>
      </c>
      <c r="AE69" s="39">
        <f t="shared" si="18"/>
        <v>54767</v>
      </c>
      <c r="AF69" s="39">
        <v>40800</v>
      </c>
      <c r="AG69" s="39"/>
      <c r="AH69" s="39">
        <v>8997</v>
      </c>
      <c r="AI69" s="39"/>
      <c r="AJ69" s="39"/>
      <c r="AK69" s="39"/>
      <c r="AL69" s="39">
        <f t="shared" si="2"/>
        <v>4970</v>
      </c>
      <c r="AM69" s="39">
        <v>4970</v>
      </c>
      <c r="AN69" s="43"/>
      <c r="AO69" s="43"/>
      <c r="AP69" s="39">
        <f t="shared" si="19"/>
        <v>20965</v>
      </c>
      <c r="AQ69" s="43">
        <v>3428</v>
      </c>
      <c r="AR69" s="44">
        <v>4551</v>
      </c>
      <c r="AS69" s="44">
        <v>10576</v>
      </c>
      <c r="AT69" s="44">
        <v>2410</v>
      </c>
      <c r="AU69" s="39">
        <f t="shared" si="7"/>
        <v>1689</v>
      </c>
      <c r="AV69" s="44">
        <f>50+131+419</f>
        <v>600</v>
      </c>
      <c r="AW69" s="39">
        <v>1089</v>
      </c>
      <c r="AX69" s="39">
        <f t="shared" si="3"/>
        <v>12771</v>
      </c>
      <c r="AY69" s="39">
        <f>12471-151</f>
        <v>12320</v>
      </c>
      <c r="AZ69" s="39">
        <v>151</v>
      </c>
      <c r="BA69" s="39">
        <v>300</v>
      </c>
      <c r="BB69" s="39">
        <v>2000</v>
      </c>
      <c r="BC69" s="39"/>
      <c r="BD69" s="39">
        <v>6000</v>
      </c>
      <c r="BE69" s="39">
        <v>1000</v>
      </c>
      <c r="BF69" s="39"/>
      <c r="BG69" s="39"/>
      <c r="BH69" s="39"/>
      <c r="BI69" s="39"/>
      <c r="BJ69" s="39"/>
      <c r="BK69" s="39"/>
      <c r="BL69" s="39">
        <v>50</v>
      </c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</row>
    <row r="70" spans="1:77" ht="25.5">
      <c r="A70" s="37">
        <v>251008</v>
      </c>
      <c r="B70" s="38" t="s">
        <v>146</v>
      </c>
      <c r="C70" s="39">
        <f t="shared" si="1"/>
        <v>6400</v>
      </c>
      <c r="D70" s="39">
        <v>5600</v>
      </c>
      <c r="E70" s="41"/>
      <c r="F70" s="41"/>
      <c r="G70" s="41"/>
      <c r="H70" s="39"/>
      <c r="I70" s="39">
        <v>800</v>
      </c>
      <c r="J70" s="39">
        <f t="shared" si="17"/>
        <v>3750</v>
      </c>
      <c r="K70" s="39">
        <v>3100</v>
      </c>
      <c r="L70" s="41"/>
      <c r="M70" s="41"/>
      <c r="N70" s="41"/>
      <c r="O70" s="41">
        <v>650</v>
      </c>
      <c r="P70" s="39">
        <f>Q70+T70+Y70</f>
        <v>30982</v>
      </c>
      <c r="Q70" s="39">
        <f t="shared" si="4"/>
        <v>30370</v>
      </c>
      <c r="R70" s="39"/>
      <c r="S70" s="39">
        <v>30370</v>
      </c>
      <c r="T70" s="39">
        <f>U70+V70+W70+X70</f>
        <v>612</v>
      </c>
      <c r="U70" s="39"/>
      <c r="V70" s="39"/>
      <c r="W70" s="39">
        <v>389</v>
      </c>
      <c r="X70" s="39">
        <v>223</v>
      </c>
      <c r="Y70" s="39"/>
      <c r="Z70" s="39"/>
      <c r="AA70" s="39"/>
      <c r="AB70" s="39"/>
      <c r="AC70" s="39">
        <v>141230</v>
      </c>
      <c r="AD70" s="39">
        <v>17910</v>
      </c>
      <c r="AE70" s="39">
        <f t="shared" si="18"/>
        <v>50310</v>
      </c>
      <c r="AF70" s="39">
        <v>47550</v>
      </c>
      <c r="AG70" s="39"/>
      <c r="AH70" s="39"/>
      <c r="AI70" s="39"/>
      <c r="AJ70" s="39"/>
      <c r="AK70" s="39"/>
      <c r="AL70" s="39">
        <f t="shared" si="2"/>
        <v>2760</v>
      </c>
      <c r="AM70" s="39">
        <v>2760</v>
      </c>
      <c r="AN70" s="43"/>
      <c r="AO70" s="43"/>
      <c r="AP70" s="39"/>
      <c r="AQ70" s="43"/>
      <c r="AR70" s="44"/>
      <c r="AS70" s="44"/>
      <c r="AT70" s="44"/>
      <c r="AU70" s="39"/>
      <c r="AV70" s="44"/>
      <c r="AW70" s="39"/>
      <c r="AX70" s="39">
        <f t="shared" si="3"/>
        <v>7207</v>
      </c>
      <c r="AY70" s="39">
        <v>7123</v>
      </c>
      <c r="AZ70" s="39"/>
      <c r="BA70" s="39">
        <v>84</v>
      </c>
      <c r="BB70" s="39"/>
      <c r="BC70" s="39"/>
      <c r="BD70" s="39">
        <v>1500</v>
      </c>
      <c r="BE70" s="39">
        <v>200</v>
      </c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</row>
    <row r="71" spans="1:77" ht="25.5">
      <c r="A71" s="37">
        <v>254505</v>
      </c>
      <c r="B71" s="38" t="s">
        <v>147</v>
      </c>
      <c r="C71" s="39">
        <f t="shared" si="1"/>
        <v>0</v>
      </c>
      <c r="D71" s="39"/>
      <c r="E71" s="41"/>
      <c r="F71" s="41"/>
      <c r="G71" s="41"/>
      <c r="H71" s="39"/>
      <c r="I71" s="39"/>
      <c r="J71" s="39">
        <f t="shared" si="17"/>
        <v>550</v>
      </c>
      <c r="K71" s="39">
        <v>550</v>
      </c>
      <c r="L71" s="41"/>
      <c r="M71" s="41"/>
      <c r="N71" s="41"/>
      <c r="O71" s="41"/>
      <c r="P71" s="39">
        <f>Q71+T71+Y71</f>
        <v>37358</v>
      </c>
      <c r="Q71" s="39">
        <f t="shared" si="4"/>
        <v>5036</v>
      </c>
      <c r="R71" s="39">
        <v>5036</v>
      </c>
      <c r="S71" s="39"/>
      <c r="T71" s="39">
        <f>U71+V71+W71+X71</f>
        <v>23280</v>
      </c>
      <c r="U71" s="39">
        <f>22946+2</f>
        <v>22948</v>
      </c>
      <c r="V71" s="39">
        <v>332</v>
      </c>
      <c r="W71" s="39"/>
      <c r="X71" s="39"/>
      <c r="Y71" s="39">
        <f t="shared" si="8"/>
        <v>9042</v>
      </c>
      <c r="Z71" s="39">
        <v>4762</v>
      </c>
      <c r="AA71" s="39">
        <v>4280</v>
      </c>
      <c r="AB71" s="39"/>
      <c r="AC71" s="39">
        <v>72450</v>
      </c>
      <c r="AD71" s="39">
        <v>18540</v>
      </c>
      <c r="AE71" s="39">
        <f t="shared" si="18"/>
        <v>43660</v>
      </c>
      <c r="AF71" s="39">
        <v>32700</v>
      </c>
      <c r="AG71" s="39"/>
      <c r="AH71" s="39">
        <v>7100</v>
      </c>
      <c r="AI71" s="39"/>
      <c r="AJ71" s="39"/>
      <c r="AK71" s="39"/>
      <c r="AL71" s="39">
        <f t="shared" si="2"/>
        <v>3860</v>
      </c>
      <c r="AM71" s="39">
        <v>3860</v>
      </c>
      <c r="AN71" s="43"/>
      <c r="AO71" s="43"/>
      <c r="AP71" s="39">
        <f>AQ71+AR71+AS71+AT71</f>
        <v>16210</v>
      </c>
      <c r="AQ71" s="43">
        <v>2651</v>
      </c>
      <c r="AR71" s="44">
        <v>3518</v>
      </c>
      <c r="AS71" s="44">
        <v>8177</v>
      </c>
      <c r="AT71" s="44">
        <v>1864</v>
      </c>
      <c r="AU71" s="39">
        <f t="shared" si="7"/>
        <v>1449</v>
      </c>
      <c r="AV71" s="44">
        <f>30+79+251</f>
        <v>360</v>
      </c>
      <c r="AW71" s="39">
        <v>1089</v>
      </c>
      <c r="AX71" s="39">
        <f t="shared" si="3"/>
        <v>10142</v>
      </c>
      <c r="AY71" s="39">
        <f>9642-169</f>
        <v>9473</v>
      </c>
      <c r="AZ71" s="39">
        <v>169</v>
      </c>
      <c r="BA71" s="39">
        <v>500</v>
      </c>
      <c r="BB71" s="39"/>
      <c r="BC71" s="39"/>
      <c r="BD71" s="39">
        <v>2500</v>
      </c>
      <c r="BE71" s="39">
        <v>1500</v>
      </c>
      <c r="BF71" s="39"/>
      <c r="BG71" s="39"/>
      <c r="BH71" s="39"/>
      <c r="BI71" s="39"/>
      <c r="BJ71" s="39"/>
      <c r="BK71" s="39"/>
      <c r="BL71" s="39">
        <v>40</v>
      </c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</row>
    <row r="72" spans="1:77" ht="25.5">
      <c r="A72" s="37">
        <v>255315</v>
      </c>
      <c r="B72" s="38" t="s">
        <v>148</v>
      </c>
      <c r="C72" s="39">
        <f t="shared" si="1"/>
        <v>0</v>
      </c>
      <c r="D72" s="39"/>
      <c r="E72" s="41"/>
      <c r="F72" s="41"/>
      <c r="G72" s="41"/>
      <c r="H72" s="39"/>
      <c r="I72" s="39"/>
      <c r="J72" s="39"/>
      <c r="K72" s="39"/>
      <c r="L72" s="41"/>
      <c r="M72" s="41"/>
      <c r="N72" s="41"/>
      <c r="O72" s="41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>
        <v>115700</v>
      </c>
      <c r="AD72" s="39">
        <v>25250</v>
      </c>
      <c r="AE72" s="39">
        <f t="shared" si="18"/>
        <v>37320</v>
      </c>
      <c r="AF72" s="39">
        <v>37320</v>
      </c>
      <c r="AG72" s="39"/>
      <c r="AH72" s="39"/>
      <c r="AI72" s="39"/>
      <c r="AJ72" s="39"/>
      <c r="AK72" s="39"/>
      <c r="AL72" s="39"/>
      <c r="AM72" s="39"/>
      <c r="AN72" s="43"/>
      <c r="AO72" s="43"/>
      <c r="AP72" s="39"/>
      <c r="AQ72" s="43"/>
      <c r="AR72" s="44"/>
      <c r="AS72" s="44"/>
      <c r="AT72" s="44"/>
      <c r="AU72" s="39"/>
      <c r="AV72" s="44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</row>
    <row r="73" spans="1:77" ht="25.5">
      <c r="A73" s="37">
        <v>255627</v>
      </c>
      <c r="B73" s="38" t="s">
        <v>149</v>
      </c>
      <c r="C73" s="39">
        <f t="shared" si="1"/>
        <v>0</v>
      </c>
      <c r="D73" s="39"/>
      <c r="E73" s="41"/>
      <c r="F73" s="41"/>
      <c r="G73" s="41"/>
      <c r="H73" s="39"/>
      <c r="I73" s="39"/>
      <c r="J73" s="39">
        <f t="shared" ref="J73:J81" si="20">K73+O73</f>
        <v>1000</v>
      </c>
      <c r="K73" s="39">
        <v>1000</v>
      </c>
      <c r="L73" s="41"/>
      <c r="M73" s="41"/>
      <c r="N73" s="41"/>
      <c r="O73" s="41"/>
      <c r="P73" s="39">
        <f>Q73+T73+Y73</f>
        <v>17047</v>
      </c>
      <c r="Q73" s="39">
        <f t="shared" si="4"/>
        <v>16848</v>
      </c>
      <c r="R73" s="39"/>
      <c r="S73" s="39">
        <v>16848</v>
      </c>
      <c r="T73" s="39">
        <f>U73+V73+W73+X73</f>
        <v>199</v>
      </c>
      <c r="U73" s="39"/>
      <c r="V73" s="39"/>
      <c r="W73" s="39">
        <f>196-59</f>
        <v>137</v>
      </c>
      <c r="X73" s="39">
        <v>62</v>
      </c>
      <c r="Y73" s="39"/>
      <c r="Z73" s="39"/>
      <c r="AA73" s="39"/>
      <c r="AB73" s="39"/>
      <c r="AC73" s="39">
        <v>76880</v>
      </c>
      <c r="AD73" s="39">
        <f>9700-3000</f>
        <v>6700</v>
      </c>
      <c r="AE73" s="39">
        <f t="shared" si="18"/>
        <v>27300</v>
      </c>
      <c r="AF73" s="39">
        <v>25780</v>
      </c>
      <c r="AG73" s="39"/>
      <c r="AH73" s="39"/>
      <c r="AI73" s="39"/>
      <c r="AJ73" s="39"/>
      <c r="AK73" s="39"/>
      <c r="AL73" s="39">
        <f t="shared" ref="AL73" si="21">AM73+AN73</f>
        <v>1520</v>
      </c>
      <c r="AM73" s="39">
        <v>1520</v>
      </c>
      <c r="AN73" s="43"/>
      <c r="AO73" s="43"/>
      <c r="AP73" s="39">
        <f t="shared" ref="AP73" si="22">AQ73+AR73+AS73+AT73</f>
        <v>11</v>
      </c>
      <c r="AQ73" s="43"/>
      <c r="AR73" s="44"/>
      <c r="AS73" s="44"/>
      <c r="AT73" s="44">
        <v>11</v>
      </c>
      <c r="AU73" s="39"/>
      <c r="AV73" s="44"/>
      <c r="AW73" s="39"/>
      <c r="AX73" s="39">
        <f t="shared" si="3"/>
        <v>3905</v>
      </c>
      <c r="AY73" s="39">
        <v>3870</v>
      </c>
      <c r="AZ73" s="39"/>
      <c r="BA73" s="39">
        <v>35</v>
      </c>
      <c r="BB73" s="39"/>
      <c r="BC73" s="39"/>
      <c r="BD73" s="39">
        <v>2000</v>
      </c>
      <c r="BE73" s="39">
        <v>50</v>
      </c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</row>
    <row r="74" spans="1:77" ht="63.75">
      <c r="A74" s="37">
        <v>256601</v>
      </c>
      <c r="B74" s="38" t="s">
        <v>150</v>
      </c>
      <c r="C74" s="39">
        <f t="shared" si="1"/>
        <v>600</v>
      </c>
      <c r="D74" s="39">
        <v>585</v>
      </c>
      <c r="E74" s="41"/>
      <c r="F74" s="41"/>
      <c r="G74" s="41">
        <f>14+1</f>
        <v>15</v>
      </c>
      <c r="H74" s="39">
        <v>15</v>
      </c>
      <c r="I74" s="39"/>
      <c r="J74" s="39">
        <f t="shared" si="20"/>
        <v>0</v>
      </c>
      <c r="K74" s="39"/>
      <c r="L74" s="41"/>
      <c r="M74" s="41"/>
      <c r="N74" s="41"/>
      <c r="O74" s="41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>
        <v>2400</v>
      </c>
      <c r="AD74" s="39"/>
      <c r="AE74" s="39">
        <f>AF74+AG74+AH74+AI74+AL74</f>
        <v>2264</v>
      </c>
      <c r="AF74" s="39">
        <v>2000</v>
      </c>
      <c r="AG74" s="39"/>
      <c r="AH74" s="39"/>
      <c r="AI74" s="39">
        <f>AK74+AJ74</f>
        <v>264</v>
      </c>
      <c r="AJ74" s="39">
        <v>264</v>
      </c>
      <c r="AK74" s="39"/>
      <c r="AL74" s="39"/>
      <c r="AM74" s="39"/>
      <c r="AN74" s="43"/>
      <c r="AO74" s="43"/>
      <c r="AP74" s="39"/>
      <c r="AQ74" s="43"/>
      <c r="AR74" s="44"/>
      <c r="AS74" s="44"/>
      <c r="AT74" s="44"/>
      <c r="AU74" s="39"/>
      <c r="AV74" s="44"/>
      <c r="AW74" s="39"/>
      <c r="AX74" s="39"/>
      <c r="AY74" s="39"/>
      <c r="AZ74" s="39"/>
      <c r="BA74" s="39"/>
      <c r="BB74" s="39">
        <v>200</v>
      </c>
      <c r="BC74" s="39">
        <v>45</v>
      </c>
      <c r="BD74" s="39">
        <v>1230</v>
      </c>
      <c r="BE74" s="39">
        <v>200</v>
      </c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</row>
    <row r="75" spans="1:77" ht="38.25">
      <c r="A75" s="37">
        <v>301001</v>
      </c>
      <c r="B75" s="38" t="s">
        <v>151</v>
      </c>
      <c r="C75" s="39">
        <f t="shared" ref="C75:C137" si="23">D75+I75+H75</f>
        <v>1600</v>
      </c>
      <c r="D75" s="39">
        <v>1600</v>
      </c>
      <c r="E75" s="41"/>
      <c r="F75" s="41"/>
      <c r="G75" s="41"/>
      <c r="H75" s="39"/>
      <c r="I75" s="39"/>
      <c r="J75" s="39">
        <f t="shared" si="20"/>
        <v>500</v>
      </c>
      <c r="K75" s="39">
        <v>500</v>
      </c>
      <c r="L75" s="41"/>
      <c r="M75" s="41"/>
      <c r="N75" s="41"/>
      <c r="O75" s="41"/>
      <c r="P75" s="39">
        <f t="shared" ref="P75:P81" si="24">Q75+T75+Y75</f>
        <v>9559</v>
      </c>
      <c r="Q75" s="39">
        <f t="shared" ref="Q75:Q117" si="25">R75+S75</f>
        <v>2749</v>
      </c>
      <c r="R75" s="39">
        <v>937</v>
      </c>
      <c r="S75" s="39">
        <v>1812</v>
      </c>
      <c r="T75" s="39">
        <f t="shared" ref="T75:T81" si="26">U75+V75+W75+X75</f>
        <v>5109</v>
      </c>
      <c r="U75" s="39">
        <v>5073</v>
      </c>
      <c r="V75" s="39">
        <v>4</v>
      </c>
      <c r="W75" s="39">
        <v>32</v>
      </c>
      <c r="X75" s="39"/>
      <c r="Y75" s="39">
        <f t="shared" ref="Y75:Y117" si="27">Z75+AA75</f>
        <v>1701</v>
      </c>
      <c r="Z75" s="39">
        <v>788</v>
      </c>
      <c r="AA75" s="39">
        <v>913</v>
      </c>
      <c r="AB75" s="39"/>
      <c r="AC75" s="39">
        <v>21350</v>
      </c>
      <c r="AD75" s="39">
        <v>5000</v>
      </c>
      <c r="AE75" s="39">
        <f t="shared" si="18"/>
        <v>11336</v>
      </c>
      <c r="AF75" s="39">
        <v>8850</v>
      </c>
      <c r="AG75" s="39"/>
      <c r="AH75" s="39">
        <v>1496</v>
      </c>
      <c r="AI75" s="39"/>
      <c r="AJ75" s="39"/>
      <c r="AK75" s="39"/>
      <c r="AL75" s="39">
        <f t="shared" ref="AL75:AL117" si="28">AM75+AN75</f>
        <v>990</v>
      </c>
      <c r="AM75" s="39">
        <v>990</v>
      </c>
      <c r="AN75" s="43"/>
      <c r="AO75" s="43"/>
      <c r="AP75" s="39">
        <f t="shared" ref="AP75:AP81" si="29">AQ75+AR75+AS75+AT75</f>
        <v>3576</v>
      </c>
      <c r="AQ75" s="43">
        <v>585</v>
      </c>
      <c r="AR75" s="44">
        <v>776</v>
      </c>
      <c r="AS75" s="44">
        <v>1804</v>
      </c>
      <c r="AT75" s="44">
        <v>411</v>
      </c>
      <c r="AU75" s="39">
        <f t="shared" ref="AU75:AU81" si="30">AV75+AW75</f>
        <v>109</v>
      </c>
      <c r="AV75" s="44"/>
      <c r="AW75" s="39">
        <v>109</v>
      </c>
      <c r="AX75" s="39">
        <f t="shared" ref="AX75:AX117" si="31">AY75+AZ75+BA75</f>
        <v>2566</v>
      </c>
      <c r="AY75" s="39">
        <f>2566-15</f>
        <v>2551</v>
      </c>
      <c r="AZ75" s="39">
        <v>15</v>
      </c>
      <c r="BA75" s="39"/>
      <c r="BB75" s="39"/>
      <c r="BC75" s="39"/>
      <c r="BD75" s="39"/>
      <c r="BE75" s="39">
        <v>400</v>
      </c>
      <c r="BF75" s="39"/>
      <c r="BG75" s="39"/>
      <c r="BH75" s="39"/>
      <c r="BI75" s="39"/>
      <c r="BJ75" s="39"/>
      <c r="BK75" s="39"/>
      <c r="BL75" s="39">
        <v>8</v>
      </c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>
        <v>3200</v>
      </c>
    </row>
    <row r="76" spans="1:77" ht="25.5">
      <c r="A76" s="37">
        <v>311001</v>
      </c>
      <c r="B76" s="38" t="s">
        <v>152</v>
      </c>
      <c r="C76" s="39">
        <f t="shared" si="23"/>
        <v>1900</v>
      </c>
      <c r="D76" s="39">
        <v>1900</v>
      </c>
      <c r="E76" s="41"/>
      <c r="F76" s="41"/>
      <c r="G76" s="41"/>
      <c r="H76" s="39"/>
      <c r="I76" s="39"/>
      <c r="J76" s="39">
        <f t="shared" si="20"/>
        <v>1400</v>
      </c>
      <c r="K76" s="39">
        <v>1400</v>
      </c>
      <c r="L76" s="41"/>
      <c r="M76" s="41"/>
      <c r="N76" s="41"/>
      <c r="O76" s="41"/>
      <c r="P76" s="39">
        <f t="shared" si="24"/>
        <v>16384</v>
      </c>
      <c r="Q76" s="39">
        <f t="shared" si="25"/>
        <v>5567</v>
      </c>
      <c r="R76" s="39">
        <v>1812</v>
      </c>
      <c r="S76" s="39">
        <v>3755</v>
      </c>
      <c r="T76" s="39">
        <f t="shared" si="26"/>
        <v>7896</v>
      </c>
      <c r="U76" s="39">
        <f>7852+1</f>
        <v>7853</v>
      </c>
      <c r="V76" s="39">
        <v>2</v>
      </c>
      <c r="W76" s="39">
        <v>41</v>
      </c>
      <c r="X76" s="39"/>
      <c r="Y76" s="39">
        <f t="shared" si="27"/>
        <v>2921</v>
      </c>
      <c r="Z76" s="39">
        <v>1363</v>
      </c>
      <c r="AA76" s="39">
        <v>1558</v>
      </c>
      <c r="AB76" s="39"/>
      <c r="AC76" s="39">
        <v>38430</v>
      </c>
      <c r="AD76" s="39">
        <v>8700</v>
      </c>
      <c r="AE76" s="39">
        <f t="shared" si="18"/>
        <v>20063</v>
      </c>
      <c r="AF76" s="39">
        <v>16030</v>
      </c>
      <c r="AG76" s="39"/>
      <c r="AH76" s="39">
        <v>2373</v>
      </c>
      <c r="AI76" s="39"/>
      <c r="AJ76" s="39"/>
      <c r="AK76" s="39"/>
      <c r="AL76" s="39">
        <f t="shared" si="28"/>
        <v>1660</v>
      </c>
      <c r="AM76" s="39">
        <v>1660</v>
      </c>
      <c r="AN76" s="43"/>
      <c r="AO76" s="43"/>
      <c r="AP76" s="39">
        <f t="shared" si="29"/>
        <v>5782</v>
      </c>
      <c r="AQ76" s="43">
        <v>945</v>
      </c>
      <c r="AR76" s="44">
        <v>1255</v>
      </c>
      <c r="AS76" s="44">
        <v>2917</v>
      </c>
      <c r="AT76" s="44">
        <v>665</v>
      </c>
      <c r="AU76" s="39">
        <f t="shared" si="30"/>
        <v>338</v>
      </c>
      <c r="AV76" s="44">
        <f>10+26+84</f>
        <v>120</v>
      </c>
      <c r="AW76" s="39">
        <v>218</v>
      </c>
      <c r="AX76" s="39">
        <f t="shared" si="31"/>
        <v>4343</v>
      </c>
      <c r="AY76" s="39">
        <f>4343-41</f>
        <v>4302</v>
      </c>
      <c r="AZ76" s="39">
        <v>41</v>
      </c>
      <c r="BA76" s="39"/>
      <c r="BB76" s="39"/>
      <c r="BC76" s="39"/>
      <c r="BD76" s="39">
        <v>2000</v>
      </c>
      <c r="BE76" s="39">
        <v>400</v>
      </c>
      <c r="BF76" s="39"/>
      <c r="BG76" s="39"/>
      <c r="BH76" s="39"/>
      <c r="BI76" s="39"/>
      <c r="BJ76" s="39"/>
      <c r="BK76" s="39"/>
      <c r="BL76" s="39">
        <v>10</v>
      </c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>
        <v>5400</v>
      </c>
    </row>
    <row r="77" spans="1:77" ht="25.5">
      <c r="A77" s="37">
        <v>321001</v>
      </c>
      <c r="B77" s="38" t="s">
        <v>153</v>
      </c>
      <c r="C77" s="39">
        <f t="shared" si="23"/>
        <v>2300</v>
      </c>
      <c r="D77" s="39">
        <v>2300</v>
      </c>
      <c r="E77" s="41"/>
      <c r="F77" s="41"/>
      <c r="G77" s="41"/>
      <c r="H77" s="39"/>
      <c r="I77" s="39"/>
      <c r="J77" s="39">
        <f t="shared" si="20"/>
        <v>1600</v>
      </c>
      <c r="K77" s="39">
        <v>1600</v>
      </c>
      <c r="L77" s="41"/>
      <c r="M77" s="41"/>
      <c r="N77" s="41"/>
      <c r="O77" s="41"/>
      <c r="P77" s="39">
        <f t="shared" si="24"/>
        <v>45964</v>
      </c>
      <c r="Q77" s="39">
        <f t="shared" si="25"/>
        <v>15889</v>
      </c>
      <c r="R77" s="39">
        <v>5056</v>
      </c>
      <c r="S77" s="39">
        <v>10833</v>
      </c>
      <c r="T77" s="39">
        <f t="shared" si="26"/>
        <v>21377</v>
      </c>
      <c r="U77" s="39">
        <f>21178+1</f>
        <v>21179</v>
      </c>
      <c r="V77" s="39">
        <v>33</v>
      </c>
      <c r="W77" s="39">
        <v>137</v>
      </c>
      <c r="X77" s="39">
        <v>28</v>
      </c>
      <c r="Y77" s="39">
        <f t="shared" si="27"/>
        <v>8698</v>
      </c>
      <c r="Z77" s="39">
        <v>4331</v>
      </c>
      <c r="AA77" s="39">
        <v>4367</v>
      </c>
      <c r="AB77" s="39"/>
      <c r="AC77" s="39">
        <v>114480</v>
      </c>
      <c r="AD77" s="39">
        <v>23200</v>
      </c>
      <c r="AE77" s="39">
        <f t="shared" si="18"/>
        <v>58119</v>
      </c>
      <c r="AF77" s="39">
        <v>46970</v>
      </c>
      <c r="AG77" s="39"/>
      <c r="AH77" s="39">
        <v>6569</v>
      </c>
      <c r="AI77" s="39"/>
      <c r="AJ77" s="39"/>
      <c r="AK77" s="39"/>
      <c r="AL77" s="39">
        <f t="shared" si="28"/>
        <v>4580</v>
      </c>
      <c r="AM77" s="39">
        <v>4580</v>
      </c>
      <c r="AN77" s="43"/>
      <c r="AO77" s="43"/>
      <c r="AP77" s="39">
        <f t="shared" si="29"/>
        <v>15246</v>
      </c>
      <c r="AQ77" s="43">
        <v>2493</v>
      </c>
      <c r="AR77" s="44">
        <v>3309</v>
      </c>
      <c r="AS77" s="44">
        <v>7691</v>
      </c>
      <c r="AT77" s="44">
        <v>1753</v>
      </c>
      <c r="AU77" s="39">
        <f t="shared" si="30"/>
        <v>948</v>
      </c>
      <c r="AV77" s="44">
        <f>20+53+167</f>
        <v>240</v>
      </c>
      <c r="AW77" s="39">
        <v>708</v>
      </c>
      <c r="AX77" s="39">
        <f t="shared" si="31"/>
        <v>11905</v>
      </c>
      <c r="AY77" s="39">
        <f>11605-118</f>
        <v>11487</v>
      </c>
      <c r="AZ77" s="39">
        <v>118</v>
      </c>
      <c r="BA77" s="39">
        <v>300</v>
      </c>
      <c r="BB77" s="39"/>
      <c r="BC77" s="39"/>
      <c r="BD77" s="39">
        <v>2000</v>
      </c>
      <c r="BE77" s="39">
        <v>1300</v>
      </c>
      <c r="BF77" s="39"/>
      <c r="BG77" s="39"/>
      <c r="BH77" s="39"/>
      <c r="BI77" s="39"/>
      <c r="BJ77" s="39"/>
      <c r="BK77" s="39"/>
      <c r="BL77" s="39">
        <v>35</v>
      </c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>
        <v>14500</v>
      </c>
    </row>
    <row r="78" spans="1:77" ht="25.5">
      <c r="A78" s="37">
        <v>331001</v>
      </c>
      <c r="B78" s="38" t="s">
        <v>154</v>
      </c>
      <c r="C78" s="39">
        <f t="shared" si="23"/>
        <v>1200</v>
      </c>
      <c r="D78" s="39">
        <v>1200</v>
      </c>
      <c r="E78" s="41"/>
      <c r="F78" s="41"/>
      <c r="G78" s="41"/>
      <c r="H78" s="39"/>
      <c r="I78" s="39"/>
      <c r="J78" s="39">
        <f t="shared" si="20"/>
        <v>900</v>
      </c>
      <c r="K78" s="39">
        <v>900</v>
      </c>
      <c r="L78" s="41"/>
      <c r="M78" s="41"/>
      <c r="N78" s="41"/>
      <c r="O78" s="41"/>
      <c r="P78" s="39">
        <f t="shared" si="24"/>
        <v>9304</v>
      </c>
      <c r="Q78" s="39">
        <f t="shared" si="25"/>
        <v>2666</v>
      </c>
      <c r="R78" s="39">
        <v>944</v>
      </c>
      <c r="S78" s="39">
        <v>1722</v>
      </c>
      <c r="T78" s="39">
        <f t="shared" si="26"/>
        <v>5060</v>
      </c>
      <c r="U78" s="39">
        <v>5023</v>
      </c>
      <c r="V78" s="39">
        <v>4</v>
      </c>
      <c r="W78" s="39">
        <v>33</v>
      </c>
      <c r="X78" s="39"/>
      <c r="Y78" s="39">
        <f t="shared" si="27"/>
        <v>1578</v>
      </c>
      <c r="Z78" s="39">
        <v>732</v>
      </c>
      <c r="AA78" s="39">
        <v>846</v>
      </c>
      <c r="AB78" s="39"/>
      <c r="AC78" s="39">
        <v>22060</v>
      </c>
      <c r="AD78" s="39">
        <v>5200</v>
      </c>
      <c r="AE78" s="39">
        <f t="shared" si="18"/>
        <v>12350</v>
      </c>
      <c r="AF78" s="39">
        <v>9920</v>
      </c>
      <c r="AG78" s="39"/>
      <c r="AH78" s="39">
        <v>1460</v>
      </c>
      <c r="AI78" s="39"/>
      <c r="AJ78" s="39"/>
      <c r="AK78" s="39"/>
      <c r="AL78" s="39">
        <f t="shared" si="28"/>
        <v>970</v>
      </c>
      <c r="AM78" s="39">
        <v>970</v>
      </c>
      <c r="AN78" s="43"/>
      <c r="AO78" s="43"/>
      <c r="AP78" s="39">
        <f t="shared" si="29"/>
        <v>3589</v>
      </c>
      <c r="AQ78" s="43">
        <v>587</v>
      </c>
      <c r="AR78" s="44">
        <v>779</v>
      </c>
      <c r="AS78" s="44">
        <v>1810</v>
      </c>
      <c r="AT78" s="44">
        <v>413</v>
      </c>
      <c r="AU78" s="39">
        <f t="shared" si="30"/>
        <v>229</v>
      </c>
      <c r="AV78" s="44">
        <f>10+26+84</f>
        <v>120</v>
      </c>
      <c r="AW78" s="39">
        <v>109</v>
      </c>
      <c r="AX78" s="39">
        <f t="shared" si="31"/>
        <v>2556</v>
      </c>
      <c r="AY78" s="39">
        <f>2556-25</f>
        <v>2531</v>
      </c>
      <c r="AZ78" s="39">
        <v>25</v>
      </c>
      <c r="BA78" s="39"/>
      <c r="BB78" s="39"/>
      <c r="BC78" s="39"/>
      <c r="BD78" s="39">
        <v>1000</v>
      </c>
      <c r="BE78" s="39">
        <v>400</v>
      </c>
      <c r="BF78" s="39"/>
      <c r="BG78" s="39"/>
      <c r="BH78" s="39"/>
      <c r="BI78" s="39"/>
      <c r="BJ78" s="39"/>
      <c r="BK78" s="39"/>
      <c r="BL78" s="39">
        <v>8</v>
      </c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>
        <v>3200</v>
      </c>
    </row>
    <row r="79" spans="1:77" ht="38.25">
      <c r="A79" s="37">
        <v>341001</v>
      </c>
      <c r="B79" s="38" t="s">
        <v>155</v>
      </c>
      <c r="C79" s="39">
        <f t="shared" si="23"/>
        <v>2200</v>
      </c>
      <c r="D79" s="39">
        <v>2200</v>
      </c>
      <c r="E79" s="41"/>
      <c r="F79" s="41"/>
      <c r="G79" s="41"/>
      <c r="H79" s="39"/>
      <c r="I79" s="39"/>
      <c r="J79" s="39">
        <f t="shared" si="20"/>
        <v>1300</v>
      </c>
      <c r="K79" s="39">
        <v>1300</v>
      </c>
      <c r="L79" s="41"/>
      <c r="M79" s="41"/>
      <c r="N79" s="41"/>
      <c r="O79" s="41"/>
      <c r="P79" s="39">
        <f t="shared" si="24"/>
        <v>17811</v>
      </c>
      <c r="Q79" s="39">
        <f t="shared" si="25"/>
        <v>5721</v>
      </c>
      <c r="R79" s="39">
        <v>1893</v>
      </c>
      <c r="S79" s="39">
        <v>3828</v>
      </c>
      <c r="T79" s="39">
        <f t="shared" si="26"/>
        <v>8946</v>
      </c>
      <c r="U79" s="39">
        <v>8815</v>
      </c>
      <c r="V79" s="39">
        <v>34</v>
      </c>
      <c r="W79" s="39">
        <v>39</v>
      </c>
      <c r="X79" s="39">
        <v>58</v>
      </c>
      <c r="Y79" s="39">
        <f t="shared" si="27"/>
        <v>3144</v>
      </c>
      <c r="Z79" s="39">
        <v>1524</v>
      </c>
      <c r="AA79" s="39">
        <v>1620</v>
      </c>
      <c r="AB79" s="39"/>
      <c r="AC79" s="39">
        <v>42110</v>
      </c>
      <c r="AD79" s="39">
        <v>9450</v>
      </c>
      <c r="AE79" s="39">
        <f t="shared" si="18"/>
        <v>21762</v>
      </c>
      <c r="AF79" s="39">
        <v>17310</v>
      </c>
      <c r="AG79" s="39"/>
      <c r="AH79" s="39">
        <v>2642</v>
      </c>
      <c r="AI79" s="39"/>
      <c r="AJ79" s="39"/>
      <c r="AK79" s="39"/>
      <c r="AL79" s="39">
        <f t="shared" si="28"/>
        <v>1810</v>
      </c>
      <c r="AM79" s="39">
        <v>1810</v>
      </c>
      <c r="AN79" s="43"/>
      <c r="AO79" s="43"/>
      <c r="AP79" s="39">
        <f t="shared" si="29"/>
        <v>6367</v>
      </c>
      <c r="AQ79" s="43">
        <v>1041</v>
      </c>
      <c r="AR79" s="44">
        <v>1382</v>
      </c>
      <c r="AS79" s="44">
        <v>3212</v>
      </c>
      <c r="AT79" s="44">
        <v>732</v>
      </c>
      <c r="AU79" s="39">
        <f t="shared" si="30"/>
        <v>338</v>
      </c>
      <c r="AV79" s="44">
        <f>10+26+84</f>
        <v>120</v>
      </c>
      <c r="AW79" s="39">
        <v>218</v>
      </c>
      <c r="AX79" s="39">
        <f t="shared" si="31"/>
        <v>4803</v>
      </c>
      <c r="AY79" s="39">
        <f>4703-34</f>
        <v>4669</v>
      </c>
      <c r="AZ79" s="39">
        <v>34</v>
      </c>
      <c r="BA79" s="39">
        <v>100</v>
      </c>
      <c r="BB79" s="39"/>
      <c r="BC79" s="39"/>
      <c r="BD79" s="39">
        <v>2000</v>
      </c>
      <c r="BE79" s="39">
        <f>300+400</f>
        <v>700</v>
      </c>
      <c r="BF79" s="39"/>
      <c r="BG79" s="39"/>
      <c r="BH79" s="39"/>
      <c r="BI79" s="39"/>
      <c r="BJ79" s="39"/>
      <c r="BK79" s="39"/>
      <c r="BL79" s="39">
        <v>15</v>
      </c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>
        <v>5900</v>
      </c>
    </row>
    <row r="80" spans="1:77" ht="38.25">
      <c r="A80" s="37">
        <v>351001</v>
      </c>
      <c r="B80" s="38" t="s">
        <v>156</v>
      </c>
      <c r="C80" s="39">
        <f t="shared" si="23"/>
        <v>2600</v>
      </c>
      <c r="D80" s="39">
        <v>2600</v>
      </c>
      <c r="E80" s="41"/>
      <c r="F80" s="41"/>
      <c r="G80" s="41"/>
      <c r="H80" s="39"/>
      <c r="I80" s="39"/>
      <c r="J80" s="39">
        <f t="shared" si="20"/>
        <v>1200</v>
      </c>
      <c r="K80" s="39">
        <v>1200</v>
      </c>
      <c r="L80" s="41"/>
      <c r="M80" s="41"/>
      <c r="N80" s="41"/>
      <c r="O80" s="41"/>
      <c r="P80" s="39">
        <f t="shared" si="24"/>
        <v>18372</v>
      </c>
      <c r="Q80" s="39">
        <f t="shared" si="25"/>
        <v>5498</v>
      </c>
      <c r="R80" s="39">
        <v>1906</v>
      </c>
      <c r="S80" s="39">
        <v>3592</v>
      </c>
      <c r="T80" s="39">
        <f t="shared" si="26"/>
        <v>9706</v>
      </c>
      <c r="U80" s="39">
        <v>9594</v>
      </c>
      <c r="V80" s="39">
        <v>2</v>
      </c>
      <c r="W80" s="39">
        <v>110</v>
      </c>
      <c r="X80" s="39"/>
      <c r="Y80" s="39">
        <f t="shared" si="27"/>
        <v>3168</v>
      </c>
      <c r="Z80" s="39">
        <v>1502</v>
      </c>
      <c r="AA80" s="39">
        <v>1666</v>
      </c>
      <c r="AB80" s="39"/>
      <c r="AC80" s="39">
        <v>42990</v>
      </c>
      <c r="AD80" s="39">
        <v>9620</v>
      </c>
      <c r="AE80" s="39">
        <f t="shared" si="18"/>
        <v>22208</v>
      </c>
      <c r="AF80" s="39">
        <v>17490</v>
      </c>
      <c r="AG80" s="39"/>
      <c r="AH80" s="39">
        <v>2818</v>
      </c>
      <c r="AI80" s="39"/>
      <c r="AJ80" s="39"/>
      <c r="AK80" s="39"/>
      <c r="AL80" s="39">
        <f t="shared" si="28"/>
        <v>1900</v>
      </c>
      <c r="AM80" s="39">
        <v>1900</v>
      </c>
      <c r="AN80" s="43"/>
      <c r="AO80" s="43"/>
      <c r="AP80" s="39">
        <f t="shared" si="29"/>
        <v>6805</v>
      </c>
      <c r="AQ80" s="43">
        <v>1113</v>
      </c>
      <c r="AR80" s="44">
        <v>1477</v>
      </c>
      <c r="AS80" s="44">
        <v>3433</v>
      </c>
      <c r="AT80" s="44">
        <v>782</v>
      </c>
      <c r="AU80" s="39">
        <f t="shared" si="30"/>
        <v>338</v>
      </c>
      <c r="AV80" s="44">
        <f>10+26+84</f>
        <v>120</v>
      </c>
      <c r="AW80" s="39">
        <v>218</v>
      </c>
      <c r="AX80" s="39">
        <f t="shared" si="31"/>
        <v>4950</v>
      </c>
      <c r="AY80" s="39">
        <f>4900-48</f>
        <v>4852</v>
      </c>
      <c r="AZ80" s="39">
        <v>48</v>
      </c>
      <c r="BA80" s="39">
        <v>50</v>
      </c>
      <c r="BB80" s="39"/>
      <c r="BC80" s="39"/>
      <c r="BD80" s="39">
        <v>2000</v>
      </c>
      <c r="BE80" s="39">
        <v>400</v>
      </c>
      <c r="BF80" s="39"/>
      <c r="BG80" s="39"/>
      <c r="BH80" s="39"/>
      <c r="BI80" s="39"/>
      <c r="BJ80" s="39"/>
      <c r="BK80" s="39"/>
      <c r="BL80" s="39">
        <v>15</v>
      </c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>
        <v>6100</v>
      </c>
    </row>
    <row r="81" spans="1:77" ht="25.5">
      <c r="A81" s="37">
        <v>361001</v>
      </c>
      <c r="B81" s="38" t="s">
        <v>157</v>
      </c>
      <c r="C81" s="39">
        <f t="shared" si="23"/>
        <v>3600</v>
      </c>
      <c r="D81" s="39">
        <v>3600</v>
      </c>
      <c r="E81" s="41"/>
      <c r="F81" s="41"/>
      <c r="G81" s="41"/>
      <c r="H81" s="39"/>
      <c r="I81" s="39"/>
      <c r="J81" s="39">
        <f t="shared" si="20"/>
        <v>900</v>
      </c>
      <c r="K81" s="39">
        <v>900</v>
      </c>
      <c r="L81" s="41"/>
      <c r="M81" s="41"/>
      <c r="N81" s="41"/>
      <c r="O81" s="41"/>
      <c r="P81" s="39">
        <f t="shared" si="24"/>
        <v>25257</v>
      </c>
      <c r="Q81" s="39">
        <f t="shared" si="25"/>
        <v>7633</v>
      </c>
      <c r="R81" s="39">
        <v>2643</v>
      </c>
      <c r="S81" s="39">
        <v>4990</v>
      </c>
      <c r="T81" s="39">
        <f t="shared" si="26"/>
        <v>13108</v>
      </c>
      <c r="U81" s="39">
        <f>12978+1</f>
        <v>12979</v>
      </c>
      <c r="V81" s="39">
        <v>8</v>
      </c>
      <c r="W81" s="39">
        <v>63</v>
      </c>
      <c r="X81" s="39">
        <v>58</v>
      </c>
      <c r="Y81" s="39">
        <f t="shared" si="27"/>
        <v>4516</v>
      </c>
      <c r="Z81" s="39">
        <v>2164</v>
      </c>
      <c r="AA81" s="39">
        <v>2352</v>
      </c>
      <c r="AB81" s="39"/>
      <c r="AC81" s="39">
        <v>60270</v>
      </c>
      <c r="AD81" s="39">
        <v>13270</v>
      </c>
      <c r="AE81" s="39">
        <f t="shared" si="18"/>
        <v>30609</v>
      </c>
      <c r="AF81" s="39">
        <v>24170</v>
      </c>
      <c r="AG81" s="39"/>
      <c r="AH81" s="39">
        <v>3859</v>
      </c>
      <c r="AI81" s="39"/>
      <c r="AJ81" s="39"/>
      <c r="AK81" s="39"/>
      <c r="AL81" s="39">
        <f t="shared" si="28"/>
        <v>2580</v>
      </c>
      <c r="AM81" s="39">
        <v>2580</v>
      </c>
      <c r="AN81" s="43"/>
      <c r="AO81" s="43"/>
      <c r="AP81" s="39">
        <f t="shared" si="29"/>
        <v>9227</v>
      </c>
      <c r="AQ81" s="43">
        <v>1509</v>
      </c>
      <c r="AR81" s="44">
        <v>2003</v>
      </c>
      <c r="AS81" s="44">
        <v>4654</v>
      </c>
      <c r="AT81" s="44">
        <v>1061</v>
      </c>
      <c r="AU81" s="39">
        <f t="shared" si="30"/>
        <v>447</v>
      </c>
      <c r="AV81" s="44">
        <f>10+26+84</f>
        <v>120</v>
      </c>
      <c r="AW81" s="39">
        <v>327</v>
      </c>
      <c r="AX81" s="39">
        <f t="shared" si="31"/>
        <v>6893</v>
      </c>
      <c r="AY81" s="39">
        <f>6693-76</f>
        <v>6617</v>
      </c>
      <c r="AZ81" s="39">
        <v>76</v>
      </c>
      <c r="BA81" s="39">
        <v>200</v>
      </c>
      <c r="BB81" s="39"/>
      <c r="BC81" s="39"/>
      <c r="BD81" s="39">
        <v>3000</v>
      </c>
      <c r="BE81" s="39">
        <v>900</v>
      </c>
      <c r="BF81" s="39"/>
      <c r="BG81" s="39"/>
      <c r="BH81" s="39"/>
      <c r="BI81" s="39"/>
      <c r="BJ81" s="39"/>
      <c r="BK81" s="39"/>
      <c r="BL81" s="39">
        <v>20</v>
      </c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>
        <v>8300</v>
      </c>
    </row>
    <row r="82" spans="1:77" ht="25.5">
      <c r="A82" s="37">
        <v>365301</v>
      </c>
      <c r="B82" s="38" t="s">
        <v>158</v>
      </c>
      <c r="C82" s="39">
        <f t="shared" si="23"/>
        <v>0</v>
      </c>
      <c r="D82" s="39"/>
      <c r="E82" s="41"/>
      <c r="F82" s="41"/>
      <c r="G82" s="41"/>
      <c r="H82" s="39"/>
      <c r="I82" s="39"/>
      <c r="J82" s="39"/>
      <c r="K82" s="39"/>
      <c r="L82" s="41"/>
      <c r="M82" s="41"/>
      <c r="N82" s="41"/>
      <c r="O82" s="41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>
        <v>13550</v>
      </c>
      <c r="AD82" s="39">
        <v>1900</v>
      </c>
      <c r="AE82" s="39">
        <f t="shared" si="18"/>
        <v>3900</v>
      </c>
      <c r="AF82" s="39">
        <v>3900</v>
      </c>
      <c r="AG82" s="39"/>
      <c r="AH82" s="39"/>
      <c r="AI82" s="39"/>
      <c r="AJ82" s="39"/>
      <c r="AK82" s="39"/>
      <c r="AL82" s="39"/>
      <c r="AM82" s="39"/>
      <c r="AN82" s="43"/>
      <c r="AO82" s="43"/>
      <c r="AP82" s="39"/>
      <c r="AQ82" s="43"/>
      <c r="AR82" s="44"/>
      <c r="AS82" s="44"/>
      <c r="AT82" s="44"/>
      <c r="AU82" s="39"/>
      <c r="AV82" s="44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</row>
    <row r="83" spans="1:77" ht="25.5">
      <c r="A83" s="37">
        <v>371001</v>
      </c>
      <c r="B83" s="38" t="s">
        <v>159</v>
      </c>
      <c r="C83" s="39">
        <f t="shared" si="23"/>
        <v>2200</v>
      </c>
      <c r="D83" s="39">
        <v>2200</v>
      </c>
      <c r="E83" s="41"/>
      <c r="F83" s="41"/>
      <c r="G83" s="41"/>
      <c r="H83" s="39"/>
      <c r="I83" s="39"/>
      <c r="J83" s="39">
        <f>K83+O83</f>
        <v>1000</v>
      </c>
      <c r="K83" s="39">
        <v>1000</v>
      </c>
      <c r="L83" s="41"/>
      <c r="M83" s="41"/>
      <c r="N83" s="41"/>
      <c r="O83" s="41"/>
      <c r="P83" s="39">
        <f>Q83+T83+Y83</f>
        <v>20171</v>
      </c>
      <c r="Q83" s="39">
        <f t="shared" si="25"/>
        <v>6659</v>
      </c>
      <c r="R83" s="39">
        <v>2000</v>
      </c>
      <c r="S83" s="39">
        <v>4659</v>
      </c>
      <c r="T83" s="39">
        <f>U83+V83+W83+X83</f>
        <v>10006</v>
      </c>
      <c r="U83" s="39">
        <v>9873</v>
      </c>
      <c r="V83" s="39">
        <v>5</v>
      </c>
      <c r="W83" s="39">
        <v>100</v>
      </c>
      <c r="X83" s="39">
        <v>28</v>
      </c>
      <c r="Y83" s="39">
        <f t="shared" si="27"/>
        <v>3506</v>
      </c>
      <c r="Z83" s="39">
        <v>1734</v>
      </c>
      <c r="AA83" s="39">
        <v>1772</v>
      </c>
      <c r="AB83" s="39"/>
      <c r="AC83" s="39">
        <v>48810</v>
      </c>
      <c r="AD83" s="39">
        <v>10830</v>
      </c>
      <c r="AE83" s="39">
        <f t="shared" si="18"/>
        <v>25220</v>
      </c>
      <c r="AF83" s="39">
        <v>20230</v>
      </c>
      <c r="AG83" s="39"/>
      <c r="AH83" s="39">
        <v>2950</v>
      </c>
      <c r="AI83" s="39"/>
      <c r="AJ83" s="39"/>
      <c r="AK83" s="39"/>
      <c r="AL83" s="39">
        <f t="shared" si="28"/>
        <v>2040</v>
      </c>
      <c r="AM83" s="39">
        <v>2040</v>
      </c>
      <c r="AN83" s="43"/>
      <c r="AO83" s="43"/>
      <c r="AP83" s="39">
        <f t="shared" ref="AP83:AP87" si="32">AQ83+AR83+AS83+AT83</f>
        <v>7094</v>
      </c>
      <c r="AQ83" s="43">
        <v>1160</v>
      </c>
      <c r="AR83" s="44">
        <v>1540</v>
      </c>
      <c r="AS83" s="44">
        <v>3578</v>
      </c>
      <c r="AT83" s="44">
        <v>816</v>
      </c>
      <c r="AU83" s="39">
        <f t="shared" ref="AU83:AU86" si="33">AV83+AW83</f>
        <v>447</v>
      </c>
      <c r="AV83" s="44">
        <f>10+26+84</f>
        <v>120</v>
      </c>
      <c r="AW83" s="39">
        <v>327</v>
      </c>
      <c r="AX83" s="39">
        <f t="shared" si="31"/>
        <v>5436</v>
      </c>
      <c r="AY83" s="39">
        <f>5336-67</f>
        <v>5269</v>
      </c>
      <c r="AZ83" s="39">
        <v>67</v>
      </c>
      <c r="BA83" s="39">
        <v>100</v>
      </c>
      <c r="BB83" s="39"/>
      <c r="BC83" s="39"/>
      <c r="BD83" s="39">
        <v>500</v>
      </c>
      <c r="BE83" s="39"/>
      <c r="BF83" s="39"/>
      <c r="BG83" s="39"/>
      <c r="BH83" s="39"/>
      <c r="BI83" s="39"/>
      <c r="BJ83" s="39"/>
      <c r="BK83" s="39"/>
      <c r="BL83" s="39">
        <v>16</v>
      </c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>
        <v>6600</v>
      </c>
    </row>
    <row r="84" spans="1:77" ht="25.5">
      <c r="A84" s="37">
        <v>381001</v>
      </c>
      <c r="B84" s="38" t="s">
        <v>160</v>
      </c>
      <c r="C84" s="39">
        <f t="shared" si="23"/>
        <v>5100</v>
      </c>
      <c r="D84" s="39">
        <v>5100</v>
      </c>
      <c r="E84" s="41"/>
      <c r="F84" s="41"/>
      <c r="G84" s="41"/>
      <c r="H84" s="39"/>
      <c r="I84" s="39"/>
      <c r="J84" s="39">
        <f>K84+O84</f>
        <v>2180</v>
      </c>
      <c r="K84" s="39">
        <v>2180</v>
      </c>
      <c r="L84" s="41">
        <v>480</v>
      </c>
      <c r="M84" s="41"/>
      <c r="N84" s="41">
        <v>300</v>
      </c>
      <c r="O84" s="41"/>
      <c r="P84" s="39">
        <f>Q84+T84+Y84</f>
        <v>36289</v>
      </c>
      <c r="Q84" s="39">
        <f t="shared" si="25"/>
        <v>12139</v>
      </c>
      <c r="R84" s="39">
        <v>3794</v>
      </c>
      <c r="S84" s="39">
        <v>8345</v>
      </c>
      <c r="T84" s="39">
        <f>U84+V84+W84+X84</f>
        <v>17865</v>
      </c>
      <c r="U84" s="39">
        <f>17621+2</f>
        <v>17623</v>
      </c>
      <c r="V84" s="39">
        <v>37</v>
      </c>
      <c r="W84" s="39">
        <v>97</v>
      </c>
      <c r="X84" s="39">
        <v>108</v>
      </c>
      <c r="Y84" s="39">
        <f t="shared" si="27"/>
        <v>6285</v>
      </c>
      <c r="Z84" s="39">
        <v>3264</v>
      </c>
      <c r="AA84" s="39">
        <v>3021</v>
      </c>
      <c r="AB84" s="39">
        <v>3220</v>
      </c>
      <c r="AC84" s="39">
        <v>86700</v>
      </c>
      <c r="AD84" s="39">
        <v>19040</v>
      </c>
      <c r="AE84" s="39">
        <f t="shared" si="18"/>
        <v>49137</v>
      </c>
      <c r="AF84" s="39">
        <v>36180</v>
      </c>
      <c r="AG84" s="39">
        <v>4000</v>
      </c>
      <c r="AH84" s="39">
        <v>5277</v>
      </c>
      <c r="AI84" s="39"/>
      <c r="AJ84" s="39"/>
      <c r="AK84" s="39"/>
      <c r="AL84" s="39">
        <f t="shared" si="28"/>
        <v>3680</v>
      </c>
      <c r="AM84" s="39">
        <v>3680</v>
      </c>
      <c r="AN84" s="43"/>
      <c r="AO84" s="43"/>
      <c r="AP84" s="39">
        <f t="shared" si="32"/>
        <v>12683</v>
      </c>
      <c r="AQ84" s="43">
        <v>2074</v>
      </c>
      <c r="AR84" s="44">
        <v>2753</v>
      </c>
      <c r="AS84" s="44">
        <v>6398</v>
      </c>
      <c r="AT84" s="44">
        <v>1458</v>
      </c>
      <c r="AU84" s="39">
        <f t="shared" si="33"/>
        <v>882</v>
      </c>
      <c r="AV84" s="44">
        <f>10+26+84</f>
        <v>120</v>
      </c>
      <c r="AW84" s="39">
        <v>762</v>
      </c>
      <c r="AX84" s="39">
        <f t="shared" si="31"/>
        <v>9709</v>
      </c>
      <c r="AY84" s="39">
        <f>9509-99</f>
        <v>9410</v>
      </c>
      <c r="AZ84" s="39">
        <v>99</v>
      </c>
      <c r="BA84" s="39">
        <v>200</v>
      </c>
      <c r="BB84" s="39">
        <v>4100</v>
      </c>
      <c r="BC84" s="39"/>
      <c r="BD84" s="39">
        <v>2500</v>
      </c>
      <c r="BE84" s="39">
        <v>2500</v>
      </c>
      <c r="BF84" s="39"/>
      <c r="BG84" s="39"/>
      <c r="BH84" s="39"/>
      <c r="BI84" s="39"/>
      <c r="BJ84" s="39"/>
      <c r="BK84" s="39"/>
      <c r="BL84" s="39">
        <v>30</v>
      </c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>
        <v>11900</v>
      </c>
    </row>
    <row r="85" spans="1:77" ht="25.5">
      <c r="A85" s="37">
        <v>391001</v>
      </c>
      <c r="B85" s="38" t="s">
        <v>161</v>
      </c>
      <c r="C85" s="39">
        <f t="shared" si="23"/>
        <v>5350</v>
      </c>
      <c r="D85" s="39">
        <v>5350</v>
      </c>
      <c r="E85" s="41"/>
      <c r="F85" s="41"/>
      <c r="G85" s="41"/>
      <c r="H85" s="39"/>
      <c r="I85" s="39"/>
      <c r="J85" s="39">
        <f>K85+O85</f>
        <v>2550</v>
      </c>
      <c r="K85" s="39">
        <v>2550</v>
      </c>
      <c r="L85" s="41"/>
      <c r="M85" s="41"/>
      <c r="N85" s="41">
        <v>300</v>
      </c>
      <c r="O85" s="41"/>
      <c r="P85" s="39">
        <f>Q85+T85+Y85</f>
        <v>43392</v>
      </c>
      <c r="Q85" s="39">
        <f t="shared" si="25"/>
        <v>5589</v>
      </c>
      <c r="R85" s="39">
        <v>5589</v>
      </c>
      <c r="S85" s="39"/>
      <c r="T85" s="39">
        <f>U85+V85+W85+X85</f>
        <v>28160</v>
      </c>
      <c r="U85" s="39">
        <f>28091+3</f>
        <v>28094</v>
      </c>
      <c r="V85" s="39">
        <v>66</v>
      </c>
      <c r="W85" s="39"/>
      <c r="X85" s="39"/>
      <c r="Y85" s="39">
        <f t="shared" si="27"/>
        <v>9643</v>
      </c>
      <c r="Z85" s="39">
        <v>4535</v>
      </c>
      <c r="AA85" s="39">
        <v>5108</v>
      </c>
      <c r="AB85" s="39">
        <v>4940</v>
      </c>
      <c r="AC85" s="39">
        <v>69550</v>
      </c>
      <c r="AD85" s="39">
        <v>21830</v>
      </c>
      <c r="AE85" s="39">
        <f t="shared" si="18"/>
        <v>46225</v>
      </c>
      <c r="AF85" s="39">
        <v>33010</v>
      </c>
      <c r="AG85" s="39"/>
      <c r="AH85" s="39">
        <v>8337</v>
      </c>
      <c r="AI85" s="39">
        <f>AK85+AJ85</f>
        <v>288</v>
      </c>
      <c r="AJ85" s="39">
        <v>288</v>
      </c>
      <c r="AK85" s="39"/>
      <c r="AL85" s="39">
        <f t="shared" si="28"/>
        <v>4590</v>
      </c>
      <c r="AM85" s="39">
        <v>4590</v>
      </c>
      <c r="AN85" s="43"/>
      <c r="AO85" s="43">
        <v>50</v>
      </c>
      <c r="AP85" s="39">
        <f t="shared" si="32"/>
        <v>19758</v>
      </c>
      <c r="AQ85" s="43">
        <v>3231</v>
      </c>
      <c r="AR85" s="44">
        <v>4288</v>
      </c>
      <c r="AS85" s="44">
        <v>9967</v>
      </c>
      <c r="AT85" s="44">
        <v>2272</v>
      </c>
      <c r="AU85" s="39">
        <f t="shared" si="33"/>
        <v>1667</v>
      </c>
      <c r="AV85" s="44">
        <f>30+79+251</f>
        <v>360</v>
      </c>
      <c r="AW85" s="39">
        <v>1307</v>
      </c>
      <c r="AX85" s="39">
        <f t="shared" si="31"/>
        <v>12080</v>
      </c>
      <c r="AY85" s="39">
        <f>11752-172</f>
        <v>11580</v>
      </c>
      <c r="AZ85" s="39"/>
      <c r="BA85" s="39">
        <v>500</v>
      </c>
      <c r="BB85" s="39">
        <v>2500</v>
      </c>
      <c r="BC85" s="39"/>
      <c r="BD85" s="39">
        <v>3000</v>
      </c>
      <c r="BE85" s="39">
        <v>950</v>
      </c>
      <c r="BF85" s="39"/>
      <c r="BG85" s="39"/>
      <c r="BH85" s="39"/>
      <c r="BI85" s="39"/>
      <c r="BJ85" s="39"/>
      <c r="BK85" s="39"/>
      <c r="BL85" s="39">
        <v>50</v>
      </c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</row>
    <row r="86" spans="1:77" ht="25.5">
      <c r="A86" s="37">
        <v>391002</v>
      </c>
      <c r="B86" s="38" t="s">
        <v>162</v>
      </c>
      <c r="C86" s="39">
        <f t="shared" si="23"/>
        <v>8280</v>
      </c>
      <c r="D86" s="42">
        <f>9092-820</f>
        <v>8272</v>
      </c>
      <c r="E86" s="41"/>
      <c r="F86" s="41">
        <v>82</v>
      </c>
      <c r="G86" s="41"/>
      <c r="H86" s="39">
        <v>8</v>
      </c>
      <c r="I86" s="39"/>
      <c r="J86" s="39">
        <f>K86+O86</f>
        <v>3200</v>
      </c>
      <c r="K86" s="39">
        <v>3200</v>
      </c>
      <c r="L86" s="41">
        <v>1600</v>
      </c>
      <c r="M86" s="41"/>
      <c r="N86" s="41"/>
      <c r="O86" s="41"/>
      <c r="P86" s="39">
        <f>Q86+T86+Y86</f>
        <v>27849</v>
      </c>
      <c r="Q86" s="39">
        <f t="shared" si="25"/>
        <v>3571</v>
      </c>
      <c r="R86" s="39">
        <v>3571</v>
      </c>
      <c r="S86" s="39"/>
      <c r="T86" s="39">
        <f>U86+V86+W86+X86</f>
        <v>18225</v>
      </c>
      <c r="U86" s="39">
        <f>18189+1</f>
        <v>18190</v>
      </c>
      <c r="V86" s="39">
        <v>35</v>
      </c>
      <c r="W86" s="39"/>
      <c r="X86" s="39"/>
      <c r="Y86" s="39">
        <f t="shared" si="27"/>
        <v>6053</v>
      </c>
      <c r="Z86" s="39">
        <v>3034</v>
      </c>
      <c r="AA86" s="39">
        <v>3019</v>
      </c>
      <c r="AB86" s="39"/>
      <c r="AC86" s="39">
        <v>49900</v>
      </c>
      <c r="AD86" s="39">
        <v>18300</v>
      </c>
      <c r="AE86" s="39">
        <f t="shared" si="18"/>
        <v>39028</v>
      </c>
      <c r="AF86" s="39">
        <v>26700</v>
      </c>
      <c r="AG86" s="39">
        <v>4000</v>
      </c>
      <c r="AH86" s="39">
        <v>5358</v>
      </c>
      <c r="AI86" s="39"/>
      <c r="AJ86" s="39"/>
      <c r="AK86" s="39"/>
      <c r="AL86" s="39">
        <f t="shared" si="28"/>
        <v>2970</v>
      </c>
      <c r="AM86" s="39">
        <v>2970</v>
      </c>
      <c r="AN86" s="43"/>
      <c r="AO86" s="43"/>
      <c r="AP86" s="39">
        <f t="shared" si="32"/>
        <v>12748</v>
      </c>
      <c r="AQ86" s="43">
        <v>2110</v>
      </c>
      <c r="AR86" s="44">
        <v>2801</v>
      </c>
      <c r="AS86" s="44">
        <v>6509</v>
      </c>
      <c r="AT86" s="44">
        <f>1484-156</f>
        <v>1328</v>
      </c>
      <c r="AU86" s="39">
        <f t="shared" si="33"/>
        <v>1144</v>
      </c>
      <c r="AV86" s="44">
        <f>30+79+251</f>
        <v>360</v>
      </c>
      <c r="AW86" s="39">
        <v>784</v>
      </c>
      <c r="AX86" s="39">
        <f t="shared" si="31"/>
        <v>7847</v>
      </c>
      <c r="AY86" s="39">
        <f>7675-112</f>
        <v>7563</v>
      </c>
      <c r="AZ86" s="39">
        <v>284</v>
      </c>
      <c r="BA86" s="39"/>
      <c r="BB86" s="39">
        <f>3000+1920</f>
        <v>4920</v>
      </c>
      <c r="BC86" s="39">
        <v>1900</v>
      </c>
      <c r="BD86" s="39">
        <v>3500</v>
      </c>
      <c r="BE86" s="39">
        <v>1700</v>
      </c>
      <c r="BF86" s="39"/>
      <c r="BG86" s="39"/>
      <c r="BH86" s="39"/>
      <c r="BI86" s="39"/>
      <c r="BJ86" s="39"/>
      <c r="BK86" s="39"/>
      <c r="BL86" s="39">
        <v>30</v>
      </c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</row>
    <row r="87" spans="1:77" ht="25.5">
      <c r="A87" s="37">
        <v>391003</v>
      </c>
      <c r="B87" s="38" t="s">
        <v>163</v>
      </c>
      <c r="C87" s="39">
        <f t="shared" si="23"/>
        <v>3250</v>
      </c>
      <c r="D87" s="39">
        <v>3250</v>
      </c>
      <c r="E87" s="41"/>
      <c r="F87" s="41"/>
      <c r="G87" s="41"/>
      <c r="H87" s="39"/>
      <c r="I87" s="39"/>
      <c r="J87" s="39">
        <f>K87+O87</f>
        <v>1400</v>
      </c>
      <c r="K87" s="39">
        <v>1400</v>
      </c>
      <c r="L87" s="41"/>
      <c r="M87" s="41"/>
      <c r="N87" s="41"/>
      <c r="O87" s="41"/>
      <c r="P87" s="39">
        <f>Q87+T87+Y87</f>
        <v>19987</v>
      </c>
      <c r="Q87" s="39">
        <f t="shared" si="25"/>
        <v>19513</v>
      </c>
      <c r="R87" s="39"/>
      <c r="S87" s="39">
        <v>19513</v>
      </c>
      <c r="T87" s="39">
        <f>U87+V87+W87+X87</f>
        <v>474</v>
      </c>
      <c r="U87" s="39"/>
      <c r="V87" s="39"/>
      <c r="W87" s="39">
        <v>243</v>
      </c>
      <c r="X87" s="39">
        <v>231</v>
      </c>
      <c r="Y87" s="39"/>
      <c r="Z87" s="39"/>
      <c r="AA87" s="39"/>
      <c r="AB87" s="39"/>
      <c r="AC87" s="39">
        <v>91870</v>
      </c>
      <c r="AD87" s="39">
        <v>11600</v>
      </c>
      <c r="AE87" s="39">
        <f t="shared" si="18"/>
        <v>32720</v>
      </c>
      <c r="AF87" s="39">
        <v>30950</v>
      </c>
      <c r="AG87" s="39"/>
      <c r="AH87" s="39"/>
      <c r="AI87" s="39"/>
      <c r="AJ87" s="39"/>
      <c r="AK87" s="39"/>
      <c r="AL87" s="39">
        <f t="shared" si="28"/>
        <v>1770</v>
      </c>
      <c r="AM87" s="39">
        <v>1770</v>
      </c>
      <c r="AN87" s="43"/>
      <c r="AO87" s="43">
        <v>870</v>
      </c>
      <c r="AP87" s="39">
        <f t="shared" si="32"/>
        <v>156</v>
      </c>
      <c r="AQ87" s="43"/>
      <c r="AR87" s="44"/>
      <c r="AS87" s="44"/>
      <c r="AT87" s="44">
        <v>156</v>
      </c>
      <c r="AU87" s="39"/>
      <c r="AV87" s="44"/>
      <c r="AW87" s="39"/>
      <c r="AX87" s="39">
        <f t="shared" si="31"/>
        <v>4629</v>
      </c>
      <c r="AY87" s="39">
        <v>4629</v>
      </c>
      <c r="AZ87" s="39"/>
      <c r="BA87" s="39"/>
      <c r="BB87" s="39">
        <v>200</v>
      </c>
      <c r="BC87" s="39"/>
      <c r="BD87" s="39">
        <v>500</v>
      </c>
      <c r="BE87" s="39">
        <v>100</v>
      </c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</row>
    <row r="88" spans="1:77" ht="25.5">
      <c r="A88" s="37">
        <v>395301</v>
      </c>
      <c r="B88" s="38" t="s">
        <v>164</v>
      </c>
      <c r="C88" s="39">
        <f t="shared" si="23"/>
        <v>0</v>
      </c>
      <c r="D88" s="39"/>
      <c r="E88" s="41"/>
      <c r="F88" s="41"/>
      <c r="G88" s="41"/>
      <c r="H88" s="39"/>
      <c r="I88" s="39"/>
      <c r="J88" s="39"/>
      <c r="K88" s="39"/>
      <c r="L88" s="41"/>
      <c r="M88" s="41"/>
      <c r="N88" s="41"/>
      <c r="O88" s="41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>
        <v>52900</v>
      </c>
      <c r="AD88" s="39">
        <v>8310</v>
      </c>
      <c r="AE88" s="39">
        <f t="shared" si="18"/>
        <v>10530</v>
      </c>
      <c r="AF88" s="39">
        <v>10530</v>
      </c>
      <c r="AG88" s="39"/>
      <c r="AH88" s="39"/>
      <c r="AI88" s="39"/>
      <c r="AJ88" s="39"/>
      <c r="AK88" s="39"/>
      <c r="AL88" s="39"/>
      <c r="AM88" s="39"/>
      <c r="AN88" s="43"/>
      <c r="AO88" s="43"/>
      <c r="AP88" s="39"/>
      <c r="AQ88" s="43"/>
      <c r="AR88" s="44"/>
      <c r="AS88" s="44"/>
      <c r="AT88" s="44"/>
      <c r="AU88" s="39"/>
      <c r="AV88" s="44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</row>
    <row r="89" spans="1:77" ht="25.5">
      <c r="A89" s="37">
        <v>401001</v>
      </c>
      <c r="B89" s="38" t="s">
        <v>165</v>
      </c>
      <c r="C89" s="39">
        <f t="shared" si="23"/>
        <v>1600</v>
      </c>
      <c r="D89" s="39">
        <v>1600</v>
      </c>
      <c r="E89" s="41"/>
      <c r="F89" s="41"/>
      <c r="G89" s="41"/>
      <c r="H89" s="39"/>
      <c r="I89" s="39"/>
      <c r="J89" s="39">
        <f>K89+O89</f>
        <v>800</v>
      </c>
      <c r="K89" s="39">
        <v>800</v>
      </c>
      <c r="L89" s="41"/>
      <c r="M89" s="41"/>
      <c r="N89" s="41"/>
      <c r="O89" s="41"/>
      <c r="P89" s="39">
        <f>Q89+T89+Y89</f>
        <v>9416</v>
      </c>
      <c r="Q89" s="39">
        <f t="shared" si="25"/>
        <v>2725</v>
      </c>
      <c r="R89" s="39">
        <v>947</v>
      </c>
      <c r="S89" s="39">
        <v>1778</v>
      </c>
      <c r="T89" s="39">
        <f>U89+V89+W89+X89</f>
        <v>5062</v>
      </c>
      <c r="U89" s="39">
        <f>5032+1</f>
        <v>5033</v>
      </c>
      <c r="V89" s="39">
        <v>3</v>
      </c>
      <c r="W89" s="39">
        <v>26</v>
      </c>
      <c r="X89" s="39"/>
      <c r="Y89" s="39">
        <f t="shared" si="27"/>
        <v>1629</v>
      </c>
      <c r="Z89" s="39">
        <v>744</v>
      </c>
      <c r="AA89" s="39">
        <v>885</v>
      </c>
      <c r="AB89" s="39"/>
      <c r="AC89" s="39">
        <v>21720</v>
      </c>
      <c r="AD89" s="39">
        <v>5570</v>
      </c>
      <c r="AE89" s="39">
        <f t="shared" si="18"/>
        <v>11972</v>
      </c>
      <c r="AF89" s="39">
        <v>9520</v>
      </c>
      <c r="AG89" s="39"/>
      <c r="AH89" s="39">
        <v>1472</v>
      </c>
      <c r="AI89" s="39"/>
      <c r="AJ89" s="39"/>
      <c r="AK89" s="39"/>
      <c r="AL89" s="39">
        <f t="shared" si="28"/>
        <v>980</v>
      </c>
      <c r="AM89" s="39">
        <v>980</v>
      </c>
      <c r="AN89" s="43"/>
      <c r="AO89" s="43"/>
      <c r="AP89" s="39">
        <f t="shared" ref="AP89:AP92" si="34">AQ89+AR89+AS89+AT89</f>
        <v>3539</v>
      </c>
      <c r="AQ89" s="43">
        <v>579</v>
      </c>
      <c r="AR89" s="44">
        <v>768</v>
      </c>
      <c r="AS89" s="44">
        <v>1785</v>
      </c>
      <c r="AT89" s="44">
        <v>407</v>
      </c>
      <c r="AU89" s="39">
        <f t="shared" ref="AU89:AU92" si="35">AV89+AW89</f>
        <v>218</v>
      </c>
      <c r="AV89" s="44"/>
      <c r="AW89" s="39">
        <v>218</v>
      </c>
      <c r="AX89" s="39">
        <f t="shared" si="31"/>
        <v>2539</v>
      </c>
      <c r="AY89" s="39">
        <f>2539-18</f>
        <v>2521</v>
      </c>
      <c r="AZ89" s="39">
        <v>18</v>
      </c>
      <c r="BA89" s="39"/>
      <c r="BB89" s="39"/>
      <c r="BC89" s="39"/>
      <c r="BD89" s="39">
        <v>400</v>
      </c>
      <c r="BE89" s="39">
        <v>300</v>
      </c>
      <c r="BF89" s="39"/>
      <c r="BG89" s="39"/>
      <c r="BH89" s="39"/>
      <c r="BI89" s="39"/>
      <c r="BJ89" s="39"/>
      <c r="BK89" s="39"/>
      <c r="BL89" s="39">
        <v>8</v>
      </c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>
        <v>3200</v>
      </c>
    </row>
    <row r="90" spans="1:77" ht="38.25">
      <c r="A90" s="37">
        <v>411001</v>
      </c>
      <c r="B90" s="38" t="s">
        <v>166</v>
      </c>
      <c r="C90" s="39">
        <f t="shared" si="23"/>
        <v>1400</v>
      </c>
      <c r="D90" s="39">
        <v>1400</v>
      </c>
      <c r="E90" s="41"/>
      <c r="F90" s="41"/>
      <c r="G90" s="41"/>
      <c r="H90" s="39"/>
      <c r="I90" s="39"/>
      <c r="J90" s="39">
        <f>K90+O90</f>
        <v>1700</v>
      </c>
      <c r="K90" s="39">
        <v>1700</v>
      </c>
      <c r="L90" s="41"/>
      <c r="M90" s="41"/>
      <c r="N90" s="41"/>
      <c r="O90" s="41"/>
      <c r="P90" s="39">
        <f>Q90+T90+Y90</f>
        <v>10504</v>
      </c>
      <c r="Q90" s="39">
        <f t="shared" si="25"/>
        <v>3302</v>
      </c>
      <c r="R90" s="39">
        <v>1079</v>
      </c>
      <c r="S90" s="39">
        <v>2223</v>
      </c>
      <c r="T90" s="39">
        <f>U90+V90+W90+X90</f>
        <v>5339</v>
      </c>
      <c r="U90" s="39">
        <f>5263+1</f>
        <v>5264</v>
      </c>
      <c r="V90" s="39">
        <v>53</v>
      </c>
      <c r="W90" s="39">
        <v>22</v>
      </c>
      <c r="X90" s="39"/>
      <c r="Y90" s="39">
        <f t="shared" si="27"/>
        <v>1863</v>
      </c>
      <c r="Z90" s="39">
        <v>858</v>
      </c>
      <c r="AA90" s="39">
        <v>1005</v>
      </c>
      <c r="AB90" s="39"/>
      <c r="AC90" s="39">
        <v>24080</v>
      </c>
      <c r="AD90" s="39">
        <v>5400</v>
      </c>
      <c r="AE90" s="39">
        <f t="shared" si="18"/>
        <v>12461</v>
      </c>
      <c r="AF90" s="39">
        <v>9810</v>
      </c>
      <c r="AG90" s="39"/>
      <c r="AH90" s="39">
        <v>1581</v>
      </c>
      <c r="AI90" s="39"/>
      <c r="AJ90" s="39"/>
      <c r="AK90" s="39"/>
      <c r="AL90" s="39">
        <f t="shared" si="28"/>
        <v>1070</v>
      </c>
      <c r="AM90" s="39">
        <v>1070</v>
      </c>
      <c r="AN90" s="43"/>
      <c r="AO90" s="43"/>
      <c r="AP90" s="39">
        <f t="shared" si="34"/>
        <v>3741</v>
      </c>
      <c r="AQ90" s="43">
        <v>612</v>
      </c>
      <c r="AR90" s="44">
        <v>812</v>
      </c>
      <c r="AS90" s="44">
        <v>1887</v>
      </c>
      <c r="AT90" s="44">
        <v>430</v>
      </c>
      <c r="AU90" s="39">
        <f t="shared" si="35"/>
        <v>349</v>
      </c>
      <c r="AV90" s="44">
        <f>20+53+167</f>
        <v>240</v>
      </c>
      <c r="AW90" s="39">
        <v>109</v>
      </c>
      <c r="AX90" s="39">
        <f t="shared" si="31"/>
        <v>2863</v>
      </c>
      <c r="AY90" s="39">
        <f>2763-25</f>
        <v>2738</v>
      </c>
      <c r="AZ90" s="39">
        <v>25</v>
      </c>
      <c r="BA90" s="39">
        <v>100</v>
      </c>
      <c r="BB90" s="39"/>
      <c r="BC90" s="39"/>
      <c r="BD90" s="39">
        <v>1500</v>
      </c>
      <c r="BE90" s="39">
        <v>500</v>
      </c>
      <c r="BF90" s="39"/>
      <c r="BG90" s="39"/>
      <c r="BH90" s="39"/>
      <c r="BI90" s="39"/>
      <c r="BJ90" s="39"/>
      <c r="BK90" s="39"/>
      <c r="BL90" s="39">
        <v>8</v>
      </c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>
        <v>3400</v>
      </c>
    </row>
    <row r="91" spans="1:77" ht="25.5">
      <c r="A91" s="37">
        <v>421001</v>
      </c>
      <c r="B91" s="38" t="s">
        <v>167</v>
      </c>
      <c r="C91" s="39">
        <f t="shared" si="23"/>
        <v>2510</v>
      </c>
      <c r="D91" s="39">
        <f>2650-140</f>
        <v>2510</v>
      </c>
      <c r="E91" s="41"/>
      <c r="F91" s="41"/>
      <c r="G91" s="41"/>
      <c r="H91" s="39"/>
      <c r="I91" s="39"/>
      <c r="J91" s="39">
        <f>K91+O91</f>
        <v>1500</v>
      </c>
      <c r="K91" s="39">
        <v>1500</v>
      </c>
      <c r="L91" s="41"/>
      <c r="M91" s="41"/>
      <c r="N91" s="41"/>
      <c r="O91" s="41"/>
      <c r="P91" s="39">
        <f>Q91+T91+Y91</f>
        <v>23644</v>
      </c>
      <c r="Q91" s="39">
        <f t="shared" si="25"/>
        <v>8567</v>
      </c>
      <c r="R91" s="39">
        <v>2474</v>
      </c>
      <c r="S91" s="39">
        <v>6093</v>
      </c>
      <c r="T91" s="39">
        <f>U91+V91+W91+X91</f>
        <v>10924</v>
      </c>
      <c r="U91" s="39">
        <f>10814+1</f>
        <v>10815</v>
      </c>
      <c r="V91" s="39">
        <v>60</v>
      </c>
      <c r="W91" s="39">
        <v>49</v>
      </c>
      <c r="X91" s="39"/>
      <c r="Y91" s="39">
        <f t="shared" si="27"/>
        <v>4153</v>
      </c>
      <c r="Z91" s="39">
        <v>2068</v>
      </c>
      <c r="AA91" s="39">
        <v>2085</v>
      </c>
      <c r="AB91" s="39"/>
      <c r="AC91" s="39">
        <v>59040</v>
      </c>
      <c r="AD91" s="39">
        <v>12230</v>
      </c>
      <c r="AE91" s="39">
        <f t="shared" si="18"/>
        <v>28335</v>
      </c>
      <c r="AF91" s="39">
        <v>22660</v>
      </c>
      <c r="AG91" s="39"/>
      <c r="AH91" s="39">
        <v>3305</v>
      </c>
      <c r="AI91" s="39"/>
      <c r="AJ91" s="39"/>
      <c r="AK91" s="39"/>
      <c r="AL91" s="39">
        <f t="shared" si="28"/>
        <v>2370</v>
      </c>
      <c r="AM91" s="39">
        <v>2370</v>
      </c>
      <c r="AN91" s="43"/>
      <c r="AO91" s="43"/>
      <c r="AP91" s="39">
        <f t="shared" si="34"/>
        <v>7801</v>
      </c>
      <c r="AQ91" s="43">
        <v>1276</v>
      </c>
      <c r="AR91" s="44">
        <v>1693</v>
      </c>
      <c r="AS91" s="44">
        <v>3935</v>
      </c>
      <c r="AT91" s="44">
        <v>897</v>
      </c>
      <c r="AU91" s="39">
        <f t="shared" si="35"/>
        <v>327</v>
      </c>
      <c r="AV91" s="44"/>
      <c r="AW91" s="39">
        <v>327</v>
      </c>
      <c r="AX91" s="39">
        <f t="shared" si="31"/>
        <v>6161</v>
      </c>
      <c r="AY91" s="39">
        <f>6061-89</f>
        <v>5972</v>
      </c>
      <c r="AZ91" s="39">
        <v>89</v>
      </c>
      <c r="BA91" s="39">
        <v>100</v>
      </c>
      <c r="BB91" s="39">
        <v>200</v>
      </c>
      <c r="BC91" s="39"/>
      <c r="BD91" s="39">
        <v>100</v>
      </c>
      <c r="BE91" s="39">
        <v>400</v>
      </c>
      <c r="BF91" s="39"/>
      <c r="BG91" s="39"/>
      <c r="BH91" s="39"/>
      <c r="BI91" s="39"/>
      <c r="BJ91" s="39"/>
      <c r="BK91" s="39"/>
      <c r="BL91" s="39">
        <v>15</v>
      </c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>
        <v>7600</v>
      </c>
    </row>
    <row r="92" spans="1:77" ht="38.25">
      <c r="A92" s="37">
        <v>431001</v>
      </c>
      <c r="B92" s="38" t="s">
        <v>168</v>
      </c>
      <c r="C92" s="39">
        <f t="shared" si="23"/>
        <v>2600</v>
      </c>
      <c r="D92" s="39">
        <v>2600</v>
      </c>
      <c r="E92" s="41"/>
      <c r="F92" s="41"/>
      <c r="G92" s="41"/>
      <c r="H92" s="39"/>
      <c r="I92" s="39"/>
      <c r="J92" s="39">
        <f>K92+O92</f>
        <v>2000</v>
      </c>
      <c r="K92" s="39">
        <v>2000</v>
      </c>
      <c r="L92" s="41"/>
      <c r="M92" s="41"/>
      <c r="N92" s="41"/>
      <c r="O92" s="41"/>
      <c r="P92" s="39">
        <f>Q92+T92+Y92</f>
        <v>21577</v>
      </c>
      <c r="Q92" s="39">
        <f t="shared" si="25"/>
        <v>6545</v>
      </c>
      <c r="R92" s="39">
        <v>2196</v>
      </c>
      <c r="S92" s="39">
        <v>4349</v>
      </c>
      <c r="T92" s="39">
        <f>U92+V92+W92+X92</f>
        <v>11272</v>
      </c>
      <c r="U92" s="39">
        <f>11059+1</f>
        <v>11060</v>
      </c>
      <c r="V92" s="39">
        <v>6</v>
      </c>
      <c r="W92" s="39">
        <v>65</v>
      </c>
      <c r="X92" s="39">
        <v>141</v>
      </c>
      <c r="Y92" s="39">
        <f t="shared" si="27"/>
        <v>3760</v>
      </c>
      <c r="Z92" s="39">
        <v>1828</v>
      </c>
      <c r="AA92" s="39">
        <v>1932</v>
      </c>
      <c r="AB92" s="39"/>
      <c r="AC92" s="39">
        <v>49410</v>
      </c>
      <c r="AD92" s="39">
        <v>11250</v>
      </c>
      <c r="AE92" s="39">
        <f t="shared" si="18"/>
        <v>28301</v>
      </c>
      <c r="AF92" s="39">
        <v>22820</v>
      </c>
      <c r="AG92" s="39"/>
      <c r="AH92" s="39">
        <v>3271</v>
      </c>
      <c r="AI92" s="39"/>
      <c r="AJ92" s="39"/>
      <c r="AK92" s="39"/>
      <c r="AL92" s="39">
        <f t="shared" si="28"/>
        <v>2210</v>
      </c>
      <c r="AM92" s="39">
        <v>2210</v>
      </c>
      <c r="AN92" s="43"/>
      <c r="AO92" s="43"/>
      <c r="AP92" s="39">
        <f t="shared" si="34"/>
        <v>7821</v>
      </c>
      <c r="AQ92" s="43">
        <v>1279</v>
      </c>
      <c r="AR92" s="44">
        <v>1698</v>
      </c>
      <c r="AS92" s="44">
        <v>3945</v>
      </c>
      <c r="AT92" s="44">
        <v>899</v>
      </c>
      <c r="AU92" s="39">
        <f t="shared" si="35"/>
        <v>338</v>
      </c>
      <c r="AV92" s="44">
        <f>10+26+84</f>
        <v>120</v>
      </c>
      <c r="AW92" s="39">
        <v>218</v>
      </c>
      <c r="AX92" s="39">
        <f t="shared" si="31"/>
        <v>5891</v>
      </c>
      <c r="AY92" s="39">
        <f>5691-39</f>
        <v>5652</v>
      </c>
      <c r="AZ92" s="39">
        <v>39</v>
      </c>
      <c r="BA92" s="39">
        <v>200</v>
      </c>
      <c r="BB92" s="39"/>
      <c r="BC92" s="39"/>
      <c r="BD92" s="39">
        <v>500</v>
      </c>
      <c r="BE92" s="39">
        <v>500</v>
      </c>
      <c r="BF92" s="39"/>
      <c r="BG92" s="39"/>
      <c r="BH92" s="39"/>
      <c r="BI92" s="39"/>
      <c r="BJ92" s="39"/>
      <c r="BK92" s="39"/>
      <c r="BL92" s="39">
        <v>15</v>
      </c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>
        <v>7100</v>
      </c>
    </row>
    <row r="93" spans="1:77" ht="25.5">
      <c r="A93" s="37">
        <v>435301</v>
      </c>
      <c r="B93" s="38" t="s">
        <v>169</v>
      </c>
      <c r="C93" s="39">
        <f t="shared" si="23"/>
        <v>0</v>
      </c>
      <c r="D93" s="39"/>
      <c r="E93" s="41"/>
      <c r="F93" s="41"/>
      <c r="G93" s="41"/>
      <c r="H93" s="39"/>
      <c r="I93" s="39"/>
      <c r="J93" s="39"/>
      <c r="K93" s="39"/>
      <c r="L93" s="41"/>
      <c r="M93" s="41"/>
      <c r="N93" s="41"/>
      <c r="O93" s="41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>
        <v>13500</v>
      </c>
      <c r="AD93" s="39">
        <v>3000</v>
      </c>
      <c r="AE93" s="39">
        <f t="shared" si="18"/>
        <v>3300</v>
      </c>
      <c r="AF93" s="39">
        <v>3300</v>
      </c>
      <c r="AG93" s="39"/>
      <c r="AH93" s="39"/>
      <c r="AI93" s="39"/>
      <c r="AJ93" s="39"/>
      <c r="AK93" s="39"/>
      <c r="AL93" s="39"/>
      <c r="AM93" s="39"/>
      <c r="AN93" s="43"/>
      <c r="AO93" s="43"/>
      <c r="AP93" s="39"/>
      <c r="AQ93" s="43"/>
      <c r="AR93" s="44"/>
      <c r="AS93" s="44"/>
      <c r="AT93" s="44"/>
      <c r="AU93" s="39"/>
      <c r="AV93" s="44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</row>
    <row r="94" spans="1:77" ht="25.5">
      <c r="A94" s="37">
        <v>441001</v>
      </c>
      <c r="B94" s="38" t="s">
        <v>170</v>
      </c>
      <c r="C94" s="39">
        <f t="shared" si="23"/>
        <v>1800</v>
      </c>
      <c r="D94" s="39">
        <v>1800</v>
      </c>
      <c r="E94" s="41"/>
      <c r="F94" s="41"/>
      <c r="G94" s="41"/>
      <c r="H94" s="39"/>
      <c r="I94" s="39"/>
      <c r="J94" s="39">
        <f>K94+O94</f>
        <v>1700</v>
      </c>
      <c r="K94" s="39">
        <v>1700</v>
      </c>
      <c r="L94" s="41"/>
      <c r="M94" s="41"/>
      <c r="N94" s="41"/>
      <c r="O94" s="41"/>
      <c r="P94" s="39">
        <f>Q94+T94+Y94</f>
        <v>19322</v>
      </c>
      <c r="Q94" s="39">
        <f t="shared" si="25"/>
        <v>6269</v>
      </c>
      <c r="R94" s="39">
        <v>2009</v>
      </c>
      <c r="S94" s="39">
        <v>4260</v>
      </c>
      <c r="T94" s="39">
        <f>U94+V94+W94+X94</f>
        <v>9583</v>
      </c>
      <c r="U94" s="39">
        <v>9401</v>
      </c>
      <c r="V94" s="39">
        <v>5</v>
      </c>
      <c r="W94" s="39">
        <v>53</v>
      </c>
      <c r="X94" s="39">
        <v>124</v>
      </c>
      <c r="Y94" s="39">
        <f t="shared" si="27"/>
        <v>3470</v>
      </c>
      <c r="Z94" s="39">
        <v>1633</v>
      </c>
      <c r="AA94" s="39">
        <v>1837</v>
      </c>
      <c r="AB94" s="39"/>
      <c r="AC94" s="39">
        <v>45220</v>
      </c>
      <c r="AD94" s="39">
        <v>9900</v>
      </c>
      <c r="AE94" s="39">
        <f t="shared" si="18"/>
        <v>23975</v>
      </c>
      <c r="AF94" s="39">
        <v>19200</v>
      </c>
      <c r="AG94" s="39"/>
      <c r="AH94" s="39">
        <v>2835</v>
      </c>
      <c r="AI94" s="39"/>
      <c r="AJ94" s="39"/>
      <c r="AK94" s="39"/>
      <c r="AL94" s="39">
        <f t="shared" si="28"/>
        <v>1940</v>
      </c>
      <c r="AM94" s="39">
        <v>1940</v>
      </c>
      <c r="AN94" s="43"/>
      <c r="AO94" s="43"/>
      <c r="AP94" s="39">
        <f t="shared" ref="AP94:AP95" si="36">AQ94+AR94+AS94+AT94</f>
        <v>6645</v>
      </c>
      <c r="AQ94" s="43">
        <v>1087</v>
      </c>
      <c r="AR94" s="44">
        <v>1442</v>
      </c>
      <c r="AS94" s="44">
        <v>3352</v>
      </c>
      <c r="AT94" s="44">
        <v>764</v>
      </c>
      <c r="AU94" s="39">
        <f>AV94+AW94</f>
        <v>218</v>
      </c>
      <c r="AV94" s="44"/>
      <c r="AW94" s="39">
        <v>218</v>
      </c>
      <c r="AX94" s="39">
        <f t="shared" si="31"/>
        <v>4981</v>
      </c>
      <c r="AY94" s="39">
        <f>4981-53</f>
        <v>4928</v>
      </c>
      <c r="AZ94" s="39">
        <v>53</v>
      </c>
      <c r="BA94" s="39"/>
      <c r="BB94" s="39"/>
      <c r="BC94" s="39"/>
      <c r="BD94" s="39">
        <v>1000</v>
      </c>
      <c r="BE94" s="39">
        <v>500</v>
      </c>
      <c r="BF94" s="39"/>
      <c r="BG94" s="39"/>
      <c r="BH94" s="39"/>
      <c r="BI94" s="39"/>
      <c r="BJ94" s="39"/>
      <c r="BK94" s="39"/>
      <c r="BL94" s="39">
        <v>15</v>
      </c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>
        <v>6200</v>
      </c>
    </row>
    <row r="95" spans="1:77" ht="25.5">
      <c r="A95" s="37">
        <v>451001</v>
      </c>
      <c r="B95" s="38" t="s">
        <v>171</v>
      </c>
      <c r="C95" s="39">
        <f t="shared" si="23"/>
        <v>12660</v>
      </c>
      <c r="D95" s="39">
        <v>12260</v>
      </c>
      <c r="E95" s="41"/>
      <c r="F95" s="41"/>
      <c r="G95" s="41"/>
      <c r="H95" s="39"/>
      <c r="I95" s="39">
        <v>400</v>
      </c>
      <c r="J95" s="39">
        <f>K95+O95</f>
        <v>5200</v>
      </c>
      <c r="K95" s="39">
        <v>5200</v>
      </c>
      <c r="L95" s="41">
        <v>1200</v>
      </c>
      <c r="M95" s="41"/>
      <c r="N95" s="41">
        <v>300</v>
      </c>
      <c r="O95" s="41"/>
      <c r="P95" s="39">
        <f>Q95+T95+Y95</f>
        <v>41931</v>
      </c>
      <c r="Q95" s="39">
        <f t="shared" si="25"/>
        <v>5553</v>
      </c>
      <c r="R95" s="39">
        <v>5553</v>
      </c>
      <c r="S95" s="39"/>
      <c r="T95" s="39">
        <f>U95+V95+W95+X95</f>
        <v>26631</v>
      </c>
      <c r="U95" s="39">
        <f>26417+2</f>
        <v>26419</v>
      </c>
      <c r="V95" s="39">
        <v>212</v>
      </c>
      <c r="W95" s="39"/>
      <c r="X95" s="39"/>
      <c r="Y95" s="39">
        <f t="shared" si="27"/>
        <v>9747</v>
      </c>
      <c r="Z95" s="39">
        <v>4913</v>
      </c>
      <c r="AA95" s="39">
        <v>4834</v>
      </c>
      <c r="AB95" s="39">
        <v>4660</v>
      </c>
      <c r="AC95" s="39">
        <v>72420</v>
      </c>
      <c r="AD95" s="39">
        <v>21950</v>
      </c>
      <c r="AE95" s="39">
        <f t="shared" si="18"/>
        <v>49377</v>
      </c>
      <c r="AF95" s="39">
        <v>32990</v>
      </c>
      <c r="AG95" s="39">
        <v>4000</v>
      </c>
      <c r="AH95" s="39">
        <v>8007</v>
      </c>
      <c r="AI95" s="39"/>
      <c r="AJ95" s="39"/>
      <c r="AK95" s="39"/>
      <c r="AL95" s="39">
        <f t="shared" si="28"/>
        <v>4380</v>
      </c>
      <c r="AM95" s="39">
        <v>4380</v>
      </c>
      <c r="AN95" s="43"/>
      <c r="AO95" s="43"/>
      <c r="AP95" s="39">
        <f t="shared" si="36"/>
        <v>18646</v>
      </c>
      <c r="AQ95" s="43">
        <v>3049</v>
      </c>
      <c r="AR95" s="44">
        <v>4047</v>
      </c>
      <c r="AS95" s="44">
        <v>9406</v>
      </c>
      <c r="AT95" s="44">
        <v>2144</v>
      </c>
      <c r="AU95" s="39">
        <f t="shared" ref="AU95" si="37">AV95+AW95</f>
        <v>904</v>
      </c>
      <c r="AV95" s="44">
        <f>30+79+251</f>
        <v>360</v>
      </c>
      <c r="AW95" s="39">
        <v>544</v>
      </c>
      <c r="AX95" s="39">
        <f t="shared" si="31"/>
        <v>11791</v>
      </c>
      <c r="AY95" s="39">
        <f>11091-159</f>
        <v>10932</v>
      </c>
      <c r="AZ95" s="39">
        <v>159</v>
      </c>
      <c r="BA95" s="39">
        <v>700</v>
      </c>
      <c r="BB95" s="39">
        <v>3700</v>
      </c>
      <c r="BC95" s="39">
        <v>2500</v>
      </c>
      <c r="BD95" s="39">
        <v>5000</v>
      </c>
      <c r="BE95" s="39">
        <v>2000</v>
      </c>
      <c r="BF95" s="39"/>
      <c r="BG95" s="39"/>
      <c r="BH95" s="39"/>
      <c r="BI95" s="39"/>
      <c r="BJ95" s="39"/>
      <c r="BK95" s="39"/>
      <c r="BL95" s="39">
        <v>45</v>
      </c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</row>
    <row r="96" spans="1:77" ht="25.5">
      <c r="A96" s="37">
        <v>451002</v>
      </c>
      <c r="B96" s="38" t="s">
        <v>172</v>
      </c>
      <c r="C96" s="39">
        <f t="shared" si="23"/>
        <v>1400</v>
      </c>
      <c r="D96" s="39">
        <v>1400</v>
      </c>
      <c r="E96" s="41"/>
      <c r="F96" s="41"/>
      <c r="G96" s="41"/>
      <c r="H96" s="39"/>
      <c r="I96" s="39"/>
      <c r="J96" s="39">
        <f>K96+O96</f>
        <v>1700</v>
      </c>
      <c r="K96" s="39">
        <v>1700</v>
      </c>
      <c r="L96" s="41"/>
      <c r="M96" s="41"/>
      <c r="N96" s="41"/>
      <c r="O96" s="41"/>
      <c r="P96" s="39">
        <f>Q96+T96+Y96</f>
        <v>12297</v>
      </c>
      <c r="Q96" s="39">
        <f t="shared" si="25"/>
        <v>12085</v>
      </c>
      <c r="R96" s="39"/>
      <c r="S96" s="39">
        <v>12085</v>
      </c>
      <c r="T96" s="39">
        <f>U96+V96+W96+X96</f>
        <v>212</v>
      </c>
      <c r="U96" s="39"/>
      <c r="V96" s="39"/>
      <c r="W96" s="39">
        <v>105</v>
      </c>
      <c r="X96" s="39">
        <v>107</v>
      </c>
      <c r="Y96" s="39"/>
      <c r="Z96" s="39"/>
      <c r="AA96" s="39"/>
      <c r="AB96" s="39"/>
      <c r="AC96" s="39">
        <v>58370</v>
      </c>
      <c r="AD96" s="39">
        <v>7200</v>
      </c>
      <c r="AE96" s="39">
        <f t="shared" si="18"/>
        <v>20320</v>
      </c>
      <c r="AF96" s="39">
        <v>19230</v>
      </c>
      <c r="AG96" s="39"/>
      <c r="AH96" s="39"/>
      <c r="AI96" s="39"/>
      <c r="AJ96" s="39"/>
      <c r="AK96" s="39"/>
      <c r="AL96" s="39">
        <f t="shared" si="28"/>
        <v>1090</v>
      </c>
      <c r="AM96" s="39">
        <v>1090</v>
      </c>
      <c r="AN96" s="43"/>
      <c r="AO96" s="43"/>
      <c r="AP96" s="39"/>
      <c r="AQ96" s="43"/>
      <c r="AR96" s="44"/>
      <c r="AS96" s="44"/>
      <c r="AT96" s="44"/>
      <c r="AU96" s="39"/>
      <c r="AV96" s="44"/>
      <c r="AW96" s="39"/>
      <c r="AX96" s="39">
        <f t="shared" si="31"/>
        <v>2866</v>
      </c>
      <c r="AY96" s="39">
        <v>2866</v>
      </c>
      <c r="AZ96" s="39"/>
      <c r="BA96" s="39"/>
      <c r="BB96" s="39"/>
      <c r="BC96" s="39"/>
      <c r="BD96" s="39">
        <v>100</v>
      </c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</row>
    <row r="97" spans="1:77" ht="25.5">
      <c r="A97" s="37">
        <v>455301</v>
      </c>
      <c r="B97" s="38" t="s">
        <v>173</v>
      </c>
      <c r="C97" s="39">
        <f t="shared" si="23"/>
        <v>0</v>
      </c>
      <c r="D97" s="39"/>
      <c r="E97" s="41"/>
      <c r="F97" s="41"/>
      <c r="G97" s="41"/>
      <c r="H97" s="39"/>
      <c r="I97" s="39"/>
      <c r="J97" s="39"/>
      <c r="K97" s="39"/>
      <c r="L97" s="41"/>
      <c r="M97" s="41"/>
      <c r="N97" s="41"/>
      <c r="O97" s="41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>
        <v>31400</v>
      </c>
      <c r="AD97" s="39">
        <v>11300</v>
      </c>
      <c r="AE97" s="39">
        <f t="shared" si="18"/>
        <v>9380</v>
      </c>
      <c r="AF97" s="39">
        <v>9380</v>
      </c>
      <c r="AG97" s="39"/>
      <c r="AH97" s="39"/>
      <c r="AI97" s="39"/>
      <c r="AJ97" s="39"/>
      <c r="AK97" s="39"/>
      <c r="AL97" s="39"/>
      <c r="AM97" s="39"/>
      <c r="AN97" s="43"/>
      <c r="AO97" s="43"/>
      <c r="AP97" s="39"/>
      <c r="AQ97" s="43"/>
      <c r="AR97" s="44"/>
      <c r="AS97" s="44"/>
      <c r="AT97" s="44"/>
      <c r="AU97" s="39"/>
      <c r="AV97" s="44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</row>
    <row r="98" spans="1:77" ht="25.5">
      <c r="A98" s="37">
        <v>461001</v>
      </c>
      <c r="B98" s="38" t="s">
        <v>174</v>
      </c>
      <c r="C98" s="39">
        <f t="shared" si="23"/>
        <v>1000</v>
      </c>
      <c r="D98" s="39">
        <v>1000</v>
      </c>
      <c r="E98" s="41"/>
      <c r="F98" s="41"/>
      <c r="G98" s="41"/>
      <c r="H98" s="39"/>
      <c r="I98" s="39"/>
      <c r="J98" s="39">
        <f t="shared" ref="J98:J112" si="38">K98+O98</f>
        <v>1100</v>
      </c>
      <c r="K98" s="39">
        <v>1100</v>
      </c>
      <c r="L98" s="41"/>
      <c r="M98" s="41"/>
      <c r="N98" s="41"/>
      <c r="O98" s="41"/>
      <c r="P98" s="39">
        <f t="shared" ref="P98:P112" si="39">Q98+T98+Y98</f>
        <v>8233</v>
      </c>
      <c r="Q98" s="39">
        <f t="shared" si="25"/>
        <v>2261</v>
      </c>
      <c r="R98" s="39">
        <v>820</v>
      </c>
      <c r="S98" s="39">
        <v>1441</v>
      </c>
      <c r="T98" s="39">
        <f t="shared" ref="T98:T112" si="40">U98+V98+W98+X98</f>
        <v>4559</v>
      </c>
      <c r="U98" s="39">
        <v>4536</v>
      </c>
      <c r="V98" s="39"/>
      <c r="W98" s="39">
        <v>23</v>
      </c>
      <c r="X98" s="39"/>
      <c r="Y98" s="39">
        <f t="shared" si="27"/>
        <v>1413</v>
      </c>
      <c r="Z98" s="39">
        <v>668</v>
      </c>
      <c r="AA98" s="39">
        <v>745</v>
      </c>
      <c r="AB98" s="39"/>
      <c r="AC98" s="39">
        <v>18670</v>
      </c>
      <c r="AD98" s="39">
        <v>4510</v>
      </c>
      <c r="AE98" s="39">
        <f t="shared" si="18"/>
        <v>10525</v>
      </c>
      <c r="AF98" s="39">
        <v>8350</v>
      </c>
      <c r="AG98" s="39"/>
      <c r="AH98" s="39">
        <v>1315</v>
      </c>
      <c r="AI98" s="39"/>
      <c r="AJ98" s="39"/>
      <c r="AK98" s="39"/>
      <c r="AL98" s="39">
        <f t="shared" si="28"/>
        <v>860</v>
      </c>
      <c r="AM98" s="39">
        <v>860</v>
      </c>
      <c r="AN98" s="43"/>
      <c r="AO98" s="43"/>
      <c r="AP98" s="39">
        <f t="shared" ref="AP98:AP112" si="41">AQ98+AR98+AS98+AT98</f>
        <v>3225</v>
      </c>
      <c r="AQ98" s="43">
        <v>527</v>
      </c>
      <c r="AR98" s="44">
        <v>700</v>
      </c>
      <c r="AS98" s="44">
        <v>1627</v>
      </c>
      <c r="AT98" s="44">
        <v>371</v>
      </c>
      <c r="AU98" s="39">
        <f>AV98+AW98</f>
        <v>109</v>
      </c>
      <c r="AV98" s="44"/>
      <c r="AW98" s="39">
        <v>109</v>
      </c>
      <c r="AX98" s="39">
        <f t="shared" si="31"/>
        <v>2267</v>
      </c>
      <c r="AY98" s="39">
        <f>2267-8</f>
        <v>2259</v>
      </c>
      <c r="AZ98" s="39">
        <v>8</v>
      </c>
      <c r="BA98" s="39"/>
      <c r="BB98" s="39"/>
      <c r="BC98" s="39"/>
      <c r="BD98" s="39">
        <v>50</v>
      </c>
      <c r="BE98" s="39">
        <v>200</v>
      </c>
      <c r="BF98" s="39"/>
      <c r="BG98" s="39"/>
      <c r="BH98" s="39"/>
      <c r="BI98" s="39"/>
      <c r="BJ98" s="39"/>
      <c r="BK98" s="39"/>
      <c r="BL98" s="39">
        <v>7</v>
      </c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>
        <v>2800</v>
      </c>
    </row>
    <row r="99" spans="1:77" ht="25.5">
      <c r="A99" s="37">
        <v>471001</v>
      </c>
      <c r="B99" s="38" t="s">
        <v>175</v>
      </c>
      <c r="C99" s="39">
        <f t="shared" si="23"/>
        <v>2000</v>
      </c>
      <c r="D99" s="39">
        <v>2000</v>
      </c>
      <c r="E99" s="41"/>
      <c r="F99" s="41"/>
      <c r="G99" s="41"/>
      <c r="H99" s="39"/>
      <c r="I99" s="39"/>
      <c r="J99" s="39">
        <f t="shared" si="38"/>
        <v>1400</v>
      </c>
      <c r="K99" s="39">
        <v>1400</v>
      </c>
      <c r="L99" s="41"/>
      <c r="M99" s="41"/>
      <c r="N99" s="41"/>
      <c r="O99" s="41"/>
      <c r="P99" s="39">
        <f t="shared" si="39"/>
        <v>19845</v>
      </c>
      <c r="Q99" s="39">
        <f t="shared" si="25"/>
        <v>6439</v>
      </c>
      <c r="R99" s="39">
        <v>2059</v>
      </c>
      <c r="S99" s="39">
        <v>4380</v>
      </c>
      <c r="T99" s="39">
        <f t="shared" si="40"/>
        <v>9910</v>
      </c>
      <c r="U99" s="39">
        <f>9778+1</f>
        <v>9779</v>
      </c>
      <c r="V99" s="39">
        <v>62</v>
      </c>
      <c r="W99" s="39">
        <v>69</v>
      </c>
      <c r="X99" s="39"/>
      <c r="Y99" s="39">
        <f t="shared" si="27"/>
        <v>3496</v>
      </c>
      <c r="Z99" s="39">
        <v>1651</v>
      </c>
      <c r="AA99" s="39">
        <v>1845</v>
      </c>
      <c r="AB99" s="39"/>
      <c r="AC99" s="39">
        <v>47350</v>
      </c>
      <c r="AD99" s="39">
        <v>10340</v>
      </c>
      <c r="AE99" s="39">
        <f t="shared" si="18"/>
        <v>23968</v>
      </c>
      <c r="AF99" s="39">
        <v>19020</v>
      </c>
      <c r="AG99" s="39"/>
      <c r="AH99" s="39">
        <v>2938</v>
      </c>
      <c r="AI99" s="39"/>
      <c r="AJ99" s="39"/>
      <c r="AK99" s="39"/>
      <c r="AL99" s="39">
        <f t="shared" si="28"/>
        <v>2010</v>
      </c>
      <c r="AM99" s="39">
        <v>2010</v>
      </c>
      <c r="AN99" s="43"/>
      <c r="AO99" s="43"/>
      <c r="AP99" s="39">
        <f t="shared" si="41"/>
        <v>7029</v>
      </c>
      <c r="AQ99" s="43">
        <v>1149</v>
      </c>
      <c r="AR99" s="44">
        <v>1526</v>
      </c>
      <c r="AS99" s="44">
        <v>3546</v>
      </c>
      <c r="AT99" s="44">
        <v>808</v>
      </c>
      <c r="AU99" s="39">
        <f t="shared" ref="AU99:AU110" si="42">AV99+AW99</f>
        <v>229</v>
      </c>
      <c r="AV99" s="44">
        <f>10+26+84</f>
        <v>120</v>
      </c>
      <c r="AW99" s="39">
        <v>109</v>
      </c>
      <c r="AX99" s="39">
        <f t="shared" si="31"/>
        <v>5524</v>
      </c>
      <c r="AY99" s="39">
        <f>5224-54</f>
        <v>5170</v>
      </c>
      <c r="AZ99" s="39">
        <v>54</v>
      </c>
      <c r="BA99" s="39">
        <v>300</v>
      </c>
      <c r="BB99" s="39"/>
      <c r="BC99" s="39"/>
      <c r="BD99" s="39">
        <v>1000</v>
      </c>
      <c r="BE99" s="39">
        <v>500</v>
      </c>
      <c r="BF99" s="39"/>
      <c r="BG99" s="39"/>
      <c r="BH99" s="39"/>
      <c r="BI99" s="39"/>
      <c r="BJ99" s="39"/>
      <c r="BK99" s="39"/>
      <c r="BL99" s="39">
        <v>15</v>
      </c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>
        <v>6500</v>
      </c>
    </row>
    <row r="100" spans="1:77" ht="25.5">
      <c r="A100" s="37">
        <v>481001</v>
      </c>
      <c r="B100" s="38" t="s">
        <v>176</v>
      </c>
      <c r="C100" s="39">
        <f t="shared" si="23"/>
        <v>2600</v>
      </c>
      <c r="D100" s="39">
        <v>2600</v>
      </c>
      <c r="E100" s="41"/>
      <c r="F100" s="41"/>
      <c r="G100" s="41"/>
      <c r="H100" s="39"/>
      <c r="I100" s="39"/>
      <c r="J100" s="39">
        <f t="shared" si="38"/>
        <v>1000</v>
      </c>
      <c r="K100" s="39">
        <v>1000</v>
      </c>
      <c r="L100" s="41"/>
      <c r="M100" s="41"/>
      <c r="N100" s="41"/>
      <c r="O100" s="41"/>
      <c r="P100" s="39">
        <f t="shared" si="39"/>
        <v>22021</v>
      </c>
      <c r="Q100" s="39">
        <f t="shared" si="25"/>
        <v>6738</v>
      </c>
      <c r="R100" s="39">
        <v>2204</v>
      </c>
      <c r="S100" s="39">
        <v>4534</v>
      </c>
      <c r="T100" s="39">
        <f t="shared" si="40"/>
        <v>11407</v>
      </c>
      <c r="U100" s="39">
        <f>11282+1</f>
        <v>11283</v>
      </c>
      <c r="V100" s="39">
        <v>5</v>
      </c>
      <c r="W100" s="39">
        <v>70</v>
      </c>
      <c r="X100" s="39">
        <v>49</v>
      </c>
      <c r="Y100" s="39">
        <f t="shared" si="27"/>
        <v>3876</v>
      </c>
      <c r="Z100" s="39">
        <v>1885</v>
      </c>
      <c r="AA100" s="39">
        <v>1991</v>
      </c>
      <c r="AB100" s="39"/>
      <c r="AC100" s="39">
        <v>52530</v>
      </c>
      <c r="AD100" s="39">
        <v>11520</v>
      </c>
      <c r="AE100" s="39">
        <f t="shared" si="18"/>
        <v>28824</v>
      </c>
      <c r="AF100" s="39">
        <v>23230</v>
      </c>
      <c r="AG100" s="39"/>
      <c r="AH100" s="39">
        <v>3344</v>
      </c>
      <c r="AI100" s="39"/>
      <c r="AJ100" s="39"/>
      <c r="AK100" s="39"/>
      <c r="AL100" s="39">
        <f t="shared" si="28"/>
        <v>2250</v>
      </c>
      <c r="AM100" s="39">
        <v>2250</v>
      </c>
      <c r="AN100" s="43"/>
      <c r="AO100" s="43"/>
      <c r="AP100" s="39">
        <f t="shared" si="41"/>
        <v>7976</v>
      </c>
      <c r="AQ100" s="43">
        <v>1304</v>
      </c>
      <c r="AR100" s="44">
        <v>1731</v>
      </c>
      <c r="AS100" s="44">
        <v>4024</v>
      </c>
      <c r="AT100" s="44">
        <v>917</v>
      </c>
      <c r="AU100" s="39">
        <f t="shared" si="42"/>
        <v>338</v>
      </c>
      <c r="AV100" s="44">
        <f>10+26+84</f>
        <v>120</v>
      </c>
      <c r="AW100" s="39">
        <v>218</v>
      </c>
      <c r="AX100" s="39">
        <f t="shared" si="31"/>
        <v>5886</v>
      </c>
      <c r="AY100" s="39">
        <f>5836-67</f>
        <v>5769</v>
      </c>
      <c r="AZ100" s="39">
        <v>67</v>
      </c>
      <c r="BA100" s="39">
        <v>50</v>
      </c>
      <c r="BB100" s="39"/>
      <c r="BC100" s="39"/>
      <c r="BD100" s="39">
        <v>2000</v>
      </c>
      <c r="BE100" s="39">
        <v>900</v>
      </c>
      <c r="BF100" s="39"/>
      <c r="BG100" s="39"/>
      <c r="BH100" s="39"/>
      <c r="BI100" s="39"/>
      <c r="BJ100" s="39"/>
      <c r="BK100" s="39"/>
      <c r="BL100" s="39">
        <v>15</v>
      </c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>
        <v>7300</v>
      </c>
    </row>
    <row r="101" spans="1:77" ht="25.5">
      <c r="A101" s="37">
        <v>491001</v>
      </c>
      <c r="B101" s="38" t="s">
        <v>177</v>
      </c>
      <c r="C101" s="39">
        <f t="shared" si="23"/>
        <v>1930</v>
      </c>
      <c r="D101" s="42">
        <f>2200-270</f>
        <v>1930</v>
      </c>
      <c r="E101" s="41"/>
      <c r="F101" s="41"/>
      <c r="G101" s="41"/>
      <c r="H101" s="39"/>
      <c r="I101" s="39"/>
      <c r="J101" s="39">
        <f t="shared" si="38"/>
        <v>1200</v>
      </c>
      <c r="K101" s="39">
        <v>1200</v>
      </c>
      <c r="L101" s="41"/>
      <c r="M101" s="41"/>
      <c r="N101" s="41"/>
      <c r="O101" s="41"/>
      <c r="P101" s="39">
        <f t="shared" si="39"/>
        <v>14091</v>
      </c>
      <c r="Q101" s="39">
        <f t="shared" si="25"/>
        <v>4313</v>
      </c>
      <c r="R101" s="39">
        <v>1475</v>
      </c>
      <c r="S101" s="39">
        <v>2838</v>
      </c>
      <c r="T101" s="39">
        <f t="shared" si="40"/>
        <v>7261</v>
      </c>
      <c r="U101" s="39">
        <f>7217+1</f>
        <v>7218</v>
      </c>
      <c r="V101" s="39">
        <v>3</v>
      </c>
      <c r="W101" s="39">
        <v>40</v>
      </c>
      <c r="X101" s="39"/>
      <c r="Y101" s="39">
        <f t="shared" si="27"/>
        <v>2517</v>
      </c>
      <c r="Z101" s="39">
        <v>1206</v>
      </c>
      <c r="AA101" s="39">
        <v>1311</v>
      </c>
      <c r="AB101" s="39"/>
      <c r="AC101" s="39">
        <v>33610</v>
      </c>
      <c r="AD101" s="39">
        <v>7400</v>
      </c>
      <c r="AE101" s="39">
        <f t="shared" si="18"/>
        <v>16807</v>
      </c>
      <c r="AF101" s="39">
        <v>13210</v>
      </c>
      <c r="AG101" s="39"/>
      <c r="AH101" s="39">
        <v>2147</v>
      </c>
      <c r="AI101" s="39"/>
      <c r="AJ101" s="39"/>
      <c r="AK101" s="39"/>
      <c r="AL101" s="39">
        <f t="shared" si="28"/>
        <v>1450</v>
      </c>
      <c r="AM101" s="39">
        <v>1450</v>
      </c>
      <c r="AN101" s="43"/>
      <c r="AO101" s="43"/>
      <c r="AP101" s="39">
        <f t="shared" si="41"/>
        <v>5113</v>
      </c>
      <c r="AQ101" s="43">
        <v>836</v>
      </c>
      <c r="AR101" s="44">
        <v>1110</v>
      </c>
      <c r="AS101" s="44">
        <v>2579</v>
      </c>
      <c r="AT101" s="44">
        <v>588</v>
      </c>
      <c r="AU101" s="39">
        <f t="shared" si="42"/>
        <v>229</v>
      </c>
      <c r="AV101" s="44">
        <f>10+26+84</f>
        <v>120</v>
      </c>
      <c r="AW101" s="39">
        <v>109</v>
      </c>
      <c r="AX101" s="39">
        <f t="shared" si="31"/>
        <v>3742</v>
      </c>
      <c r="AY101" s="39">
        <f>3742-31</f>
        <v>3711</v>
      </c>
      <c r="AZ101" s="39">
        <v>31</v>
      </c>
      <c r="BA101" s="39"/>
      <c r="BB101" s="39"/>
      <c r="BC101" s="39"/>
      <c r="BD101" s="39">
        <v>1600</v>
      </c>
      <c r="BE101" s="39">
        <v>500</v>
      </c>
      <c r="BF101" s="39"/>
      <c r="BG101" s="39"/>
      <c r="BH101" s="39"/>
      <c r="BI101" s="39"/>
      <c r="BJ101" s="39"/>
      <c r="BK101" s="39"/>
      <c r="BL101" s="39">
        <v>10</v>
      </c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>
        <v>4700</v>
      </c>
    </row>
    <row r="102" spans="1:77" ht="25.5">
      <c r="A102" s="37">
        <v>501001</v>
      </c>
      <c r="B102" s="38" t="s">
        <v>178</v>
      </c>
      <c r="C102" s="39">
        <f t="shared" si="23"/>
        <v>1600</v>
      </c>
      <c r="D102" s="39">
        <v>1600</v>
      </c>
      <c r="E102" s="41"/>
      <c r="F102" s="41"/>
      <c r="G102" s="41"/>
      <c r="H102" s="39"/>
      <c r="I102" s="39"/>
      <c r="J102" s="39">
        <f t="shared" si="38"/>
        <v>800</v>
      </c>
      <c r="K102" s="39">
        <v>800</v>
      </c>
      <c r="L102" s="41"/>
      <c r="M102" s="41"/>
      <c r="N102" s="41"/>
      <c r="O102" s="41"/>
      <c r="P102" s="39">
        <f t="shared" si="39"/>
        <v>14258</v>
      </c>
      <c r="Q102" s="39">
        <f t="shared" si="25"/>
        <v>4736</v>
      </c>
      <c r="R102" s="39">
        <v>1541</v>
      </c>
      <c r="S102" s="39">
        <v>3195</v>
      </c>
      <c r="T102" s="39">
        <f t="shared" si="40"/>
        <v>6994</v>
      </c>
      <c r="U102" s="39">
        <v>6952</v>
      </c>
      <c r="V102" s="39">
        <v>1</v>
      </c>
      <c r="W102" s="39">
        <v>32</v>
      </c>
      <c r="X102" s="39">
        <v>9</v>
      </c>
      <c r="Y102" s="39">
        <f t="shared" si="27"/>
        <v>2528</v>
      </c>
      <c r="Z102" s="39">
        <v>1238</v>
      </c>
      <c r="AA102" s="39">
        <v>1290</v>
      </c>
      <c r="AB102" s="39"/>
      <c r="AC102" s="39">
        <v>35330</v>
      </c>
      <c r="AD102" s="39">
        <v>7500</v>
      </c>
      <c r="AE102" s="39">
        <f t="shared" si="18"/>
        <v>17388</v>
      </c>
      <c r="AF102" s="39">
        <v>13850</v>
      </c>
      <c r="AG102" s="39"/>
      <c r="AH102" s="39">
        <v>2088</v>
      </c>
      <c r="AI102" s="39"/>
      <c r="AJ102" s="39"/>
      <c r="AK102" s="39"/>
      <c r="AL102" s="39">
        <f t="shared" si="28"/>
        <v>1450</v>
      </c>
      <c r="AM102" s="39">
        <v>1450</v>
      </c>
      <c r="AN102" s="43"/>
      <c r="AO102" s="43"/>
      <c r="AP102" s="39">
        <f t="shared" si="41"/>
        <v>5087</v>
      </c>
      <c r="AQ102" s="43">
        <v>832</v>
      </c>
      <c r="AR102" s="44">
        <v>1104</v>
      </c>
      <c r="AS102" s="44">
        <v>2566</v>
      </c>
      <c r="AT102" s="44">
        <v>585</v>
      </c>
      <c r="AU102" s="39">
        <f t="shared" si="42"/>
        <v>109</v>
      </c>
      <c r="AV102" s="44"/>
      <c r="AW102" s="39">
        <v>109</v>
      </c>
      <c r="AX102" s="39">
        <f t="shared" si="31"/>
        <v>3796</v>
      </c>
      <c r="AY102" s="39">
        <f>3796-34</f>
        <v>3762</v>
      </c>
      <c r="AZ102" s="39">
        <v>34</v>
      </c>
      <c r="BA102" s="39"/>
      <c r="BB102" s="39"/>
      <c r="BC102" s="39"/>
      <c r="BD102" s="39">
        <v>500</v>
      </c>
      <c r="BE102" s="39">
        <v>700</v>
      </c>
      <c r="BF102" s="39"/>
      <c r="BG102" s="39"/>
      <c r="BH102" s="39"/>
      <c r="BI102" s="39"/>
      <c r="BJ102" s="39"/>
      <c r="BK102" s="39"/>
      <c r="BL102" s="39">
        <v>10</v>
      </c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>
        <v>4700</v>
      </c>
    </row>
    <row r="103" spans="1:77" ht="38.25">
      <c r="A103" s="37">
        <v>511001</v>
      </c>
      <c r="B103" s="38" t="s">
        <v>179</v>
      </c>
      <c r="C103" s="39">
        <f t="shared" si="23"/>
        <v>1000</v>
      </c>
      <c r="D103" s="39">
        <v>1000</v>
      </c>
      <c r="E103" s="41"/>
      <c r="F103" s="41"/>
      <c r="G103" s="41"/>
      <c r="H103" s="39"/>
      <c r="I103" s="39"/>
      <c r="J103" s="39">
        <f t="shared" si="38"/>
        <v>800</v>
      </c>
      <c r="K103" s="39">
        <v>800</v>
      </c>
      <c r="L103" s="41"/>
      <c r="M103" s="41"/>
      <c r="N103" s="41"/>
      <c r="O103" s="41"/>
      <c r="P103" s="39">
        <f t="shared" si="39"/>
        <v>10240</v>
      </c>
      <c r="Q103" s="39">
        <f t="shared" si="25"/>
        <v>3328</v>
      </c>
      <c r="R103" s="39">
        <v>1135</v>
      </c>
      <c r="S103" s="39">
        <v>2193</v>
      </c>
      <c r="T103" s="39">
        <f t="shared" si="40"/>
        <v>5092</v>
      </c>
      <c r="U103" s="39">
        <f>5054+1</f>
        <v>5055</v>
      </c>
      <c r="V103" s="39">
        <v>3</v>
      </c>
      <c r="W103" s="39">
        <v>34</v>
      </c>
      <c r="X103" s="39"/>
      <c r="Y103" s="39">
        <f t="shared" si="27"/>
        <v>1820</v>
      </c>
      <c r="Z103" s="39">
        <v>839</v>
      </c>
      <c r="AA103" s="39">
        <v>981</v>
      </c>
      <c r="AB103" s="39"/>
      <c r="AC103" s="39">
        <v>24040</v>
      </c>
      <c r="AD103" s="39">
        <v>5320</v>
      </c>
      <c r="AE103" s="39">
        <f t="shared" si="18"/>
        <v>12756</v>
      </c>
      <c r="AF103" s="39">
        <v>10200</v>
      </c>
      <c r="AG103" s="39"/>
      <c r="AH103" s="39">
        <v>1516</v>
      </c>
      <c r="AI103" s="39"/>
      <c r="AJ103" s="39"/>
      <c r="AK103" s="39"/>
      <c r="AL103" s="39">
        <f t="shared" si="28"/>
        <v>1040</v>
      </c>
      <c r="AM103" s="39">
        <v>1040</v>
      </c>
      <c r="AN103" s="43"/>
      <c r="AO103" s="43"/>
      <c r="AP103" s="39">
        <f t="shared" si="41"/>
        <v>3675</v>
      </c>
      <c r="AQ103" s="43">
        <v>601</v>
      </c>
      <c r="AR103" s="44">
        <v>798</v>
      </c>
      <c r="AS103" s="44">
        <v>1854</v>
      </c>
      <c r="AT103" s="44">
        <v>422</v>
      </c>
      <c r="AU103" s="39">
        <f t="shared" si="42"/>
        <v>109</v>
      </c>
      <c r="AV103" s="44"/>
      <c r="AW103" s="39">
        <v>109</v>
      </c>
      <c r="AX103" s="39">
        <f t="shared" si="31"/>
        <v>2707</v>
      </c>
      <c r="AY103" s="39">
        <f>2707-28</f>
        <v>2679</v>
      </c>
      <c r="AZ103" s="39">
        <v>28</v>
      </c>
      <c r="BA103" s="39">
        <f>50-50</f>
        <v>0</v>
      </c>
      <c r="BB103" s="39"/>
      <c r="BC103" s="39"/>
      <c r="BD103" s="39">
        <v>1000</v>
      </c>
      <c r="BE103" s="39">
        <v>200</v>
      </c>
      <c r="BF103" s="39"/>
      <c r="BG103" s="39"/>
      <c r="BH103" s="39"/>
      <c r="BI103" s="39"/>
      <c r="BJ103" s="39"/>
      <c r="BK103" s="39"/>
      <c r="BL103" s="39">
        <v>8</v>
      </c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>
        <v>3400</v>
      </c>
    </row>
    <row r="104" spans="1:77" ht="25.5">
      <c r="A104" s="37">
        <v>521001</v>
      </c>
      <c r="B104" s="38" t="s">
        <v>180</v>
      </c>
      <c r="C104" s="39">
        <f t="shared" si="23"/>
        <v>2680</v>
      </c>
      <c r="D104" s="42">
        <f>2950-270</f>
        <v>2680</v>
      </c>
      <c r="E104" s="41"/>
      <c r="F104" s="41"/>
      <c r="G104" s="41"/>
      <c r="H104" s="39"/>
      <c r="I104" s="39"/>
      <c r="J104" s="39">
        <f t="shared" si="38"/>
        <v>1270</v>
      </c>
      <c r="K104" s="39">
        <v>1270</v>
      </c>
      <c r="L104" s="41">
        <v>270</v>
      </c>
      <c r="M104" s="41"/>
      <c r="N104" s="41"/>
      <c r="O104" s="41"/>
      <c r="P104" s="39">
        <f t="shared" si="39"/>
        <v>25515</v>
      </c>
      <c r="Q104" s="39">
        <f t="shared" si="25"/>
        <v>8951</v>
      </c>
      <c r="R104" s="39">
        <v>2696</v>
      </c>
      <c r="S104" s="39">
        <v>6255</v>
      </c>
      <c r="T104" s="39">
        <f t="shared" si="40"/>
        <v>12044</v>
      </c>
      <c r="U104" s="39">
        <f>12005+1</f>
        <v>12006</v>
      </c>
      <c r="V104" s="39">
        <v>8</v>
      </c>
      <c r="W104" s="39">
        <v>30</v>
      </c>
      <c r="X104" s="39"/>
      <c r="Y104" s="39">
        <f t="shared" si="27"/>
        <v>4520</v>
      </c>
      <c r="Z104" s="39">
        <v>2171</v>
      </c>
      <c r="AA104" s="39">
        <v>2349</v>
      </c>
      <c r="AB104" s="39"/>
      <c r="AC104" s="39">
        <v>60420</v>
      </c>
      <c r="AD104" s="39">
        <v>13430</v>
      </c>
      <c r="AE104" s="39">
        <f t="shared" si="18"/>
        <v>35109</v>
      </c>
      <c r="AF104" s="39">
        <v>24900</v>
      </c>
      <c r="AG104" s="39">
        <v>4000</v>
      </c>
      <c r="AH104" s="39">
        <v>3639</v>
      </c>
      <c r="AI104" s="39"/>
      <c r="AJ104" s="39"/>
      <c r="AK104" s="39"/>
      <c r="AL104" s="39">
        <f t="shared" si="28"/>
        <v>2570</v>
      </c>
      <c r="AM104" s="39">
        <v>2570</v>
      </c>
      <c r="AN104" s="43"/>
      <c r="AO104" s="43"/>
      <c r="AP104" s="39">
        <f t="shared" si="41"/>
        <v>8704</v>
      </c>
      <c r="AQ104" s="43">
        <v>1423</v>
      </c>
      <c r="AR104" s="44">
        <v>1889</v>
      </c>
      <c r="AS104" s="44">
        <v>4391</v>
      </c>
      <c r="AT104" s="44">
        <v>1001</v>
      </c>
      <c r="AU104" s="39">
        <f t="shared" si="42"/>
        <v>447</v>
      </c>
      <c r="AV104" s="44">
        <f>10+26+84</f>
        <v>120</v>
      </c>
      <c r="AW104" s="39">
        <v>327</v>
      </c>
      <c r="AX104" s="39">
        <f t="shared" si="31"/>
        <v>6876</v>
      </c>
      <c r="AY104" s="39">
        <f>6676-78</f>
        <v>6598</v>
      </c>
      <c r="AZ104" s="39">
        <v>78</v>
      </c>
      <c r="BA104" s="39">
        <v>200</v>
      </c>
      <c r="BB104" s="39">
        <v>2600</v>
      </c>
      <c r="BC104" s="39"/>
      <c r="BD104" s="39">
        <v>3000</v>
      </c>
      <c r="BE104" s="39">
        <v>1000</v>
      </c>
      <c r="BF104" s="39"/>
      <c r="BG104" s="39"/>
      <c r="BH104" s="39"/>
      <c r="BI104" s="39"/>
      <c r="BJ104" s="39"/>
      <c r="BK104" s="39"/>
      <c r="BL104" s="39">
        <v>20</v>
      </c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>
        <v>8300</v>
      </c>
    </row>
    <row r="105" spans="1:77" ht="25.5">
      <c r="A105" s="37">
        <v>531001</v>
      </c>
      <c r="B105" s="38" t="s">
        <v>181</v>
      </c>
      <c r="C105" s="39">
        <f t="shared" si="23"/>
        <v>1500</v>
      </c>
      <c r="D105" s="39">
        <v>1500</v>
      </c>
      <c r="E105" s="41"/>
      <c r="F105" s="41"/>
      <c r="G105" s="41"/>
      <c r="H105" s="39"/>
      <c r="I105" s="39"/>
      <c r="J105" s="39">
        <f t="shared" si="38"/>
        <v>1200</v>
      </c>
      <c r="K105" s="39">
        <v>1200</v>
      </c>
      <c r="L105" s="41"/>
      <c r="M105" s="41"/>
      <c r="N105" s="41"/>
      <c r="O105" s="41"/>
      <c r="P105" s="39">
        <f t="shared" si="39"/>
        <v>11855</v>
      </c>
      <c r="Q105" s="39">
        <f t="shared" si="25"/>
        <v>3535</v>
      </c>
      <c r="R105" s="39">
        <v>1218</v>
      </c>
      <c r="S105" s="39">
        <v>2317</v>
      </c>
      <c r="T105" s="39">
        <f t="shared" si="40"/>
        <v>6236</v>
      </c>
      <c r="U105" s="39">
        <v>6171</v>
      </c>
      <c r="V105" s="39">
        <v>15</v>
      </c>
      <c r="W105" s="39">
        <v>35</v>
      </c>
      <c r="X105" s="39">
        <v>15</v>
      </c>
      <c r="Y105" s="39">
        <f t="shared" si="27"/>
        <v>2084</v>
      </c>
      <c r="Z105" s="39">
        <v>982</v>
      </c>
      <c r="AA105" s="39">
        <v>1102</v>
      </c>
      <c r="AB105" s="39"/>
      <c r="AC105" s="39">
        <v>27900</v>
      </c>
      <c r="AD105" s="39">
        <v>6420</v>
      </c>
      <c r="AE105" s="39">
        <f t="shared" si="18"/>
        <v>14555</v>
      </c>
      <c r="AF105" s="39">
        <v>11510</v>
      </c>
      <c r="AG105" s="39"/>
      <c r="AH105" s="39">
        <v>1825</v>
      </c>
      <c r="AI105" s="39"/>
      <c r="AJ105" s="39"/>
      <c r="AK105" s="39"/>
      <c r="AL105" s="39">
        <f t="shared" si="28"/>
        <v>1220</v>
      </c>
      <c r="AM105" s="39">
        <v>1220</v>
      </c>
      <c r="AN105" s="43"/>
      <c r="AO105" s="43"/>
      <c r="AP105" s="39">
        <f t="shared" si="41"/>
        <v>4393</v>
      </c>
      <c r="AQ105" s="43">
        <v>718</v>
      </c>
      <c r="AR105" s="44">
        <v>954</v>
      </c>
      <c r="AS105" s="44">
        <v>2216</v>
      </c>
      <c r="AT105" s="44">
        <v>505</v>
      </c>
      <c r="AU105" s="39">
        <f t="shared" si="42"/>
        <v>229</v>
      </c>
      <c r="AV105" s="44">
        <f>10+26+84</f>
        <v>120</v>
      </c>
      <c r="AW105" s="39">
        <v>109</v>
      </c>
      <c r="AX105" s="39">
        <f t="shared" si="31"/>
        <v>3329</v>
      </c>
      <c r="AY105" s="39">
        <f>3179-24</f>
        <v>3155</v>
      </c>
      <c r="AZ105" s="39">
        <v>24</v>
      </c>
      <c r="BA105" s="39">
        <v>150</v>
      </c>
      <c r="BB105" s="39"/>
      <c r="BC105" s="39"/>
      <c r="BD105" s="39">
        <v>100</v>
      </c>
      <c r="BE105" s="39">
        <v>500</v>
      </c>
      <c r="BF105" s="39"/>
      <c r="BG105" s="39"/>
      <c r="BH105" s="39"/>
      <c r="BI105" s="39"/>
      <c r="BJ105" s="39"/>
      <c r="BK105" s="39"/>
      <c r="BL105" s="39">
        <v>10</v>
      </c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>
        <v>4000</v>
      </c>
    </row>
    <row r="106" spans="1:77" ht="51">
      <c r="A106" s="37">
        <v>541001</v>
      </c>
      <c r="B106" s="38" t="s">
        <v>182</v>
      </c>
      <c r="C106" s="39">
        <f t="shared" si="23"/>
        <v>1300</v>
      </c>
      <c r="D106" s="39">
        <v>1300</v>
      </c>
      <c r="E106" s="41"/>
      <c r="F106" s="41"/>
      <c r="G106" s="41"/>
      <c r="H106" s="39"/>
      <c r="I106" s="39"/>
      <c r="J106" s="39">
        <f t="shared" si="38"/>
        <v>450</v>
      </c>
      <c r="K106" s="39">
        <v>450</v>
      </c>
      <c r="L106" s="41"/>
      <c r="M106" s="41"/>
      <c r="N106" s="41"/>
      <c r="O106" s="41"/>
      <c r="P106" s="39">
        <f t="shared" si="39"/>
        <v>9187</v>
      </c>
      <c r="Q106" s="39">
        <f t="shared" si="25"/>
        <v>2710</v>
      </c>
      <c r="R106" s="39">
        <v>922</v>
      </c>
      <c r="S106" s="39">
        <v>1788</v>
      </c>
      <c r="T106" s="39">
        <f t="shared" si="40"/>
        <v>4957</v>
      </c>
      <c r="U106" s="39">
        <f>4886+1</f>
        <v>4887</v>
      </c>
      <c r="V106" s="39">
        <v>6</v>
      </c>
      <c r="W106" s="39">
        <v>48</v>
      </c>
      <c r="X106" s="39">
        <v>16</v>
      </c>
      <c r="Y106" s="39">
        <f t="shared" si="27"/>
        <v>1520</v>
      </c>
      <c r="Z106" s="39">
        <v>711</v>
      </c>
      <c r="AA106" s="39">
        <v>809</v>
      </c>
      <c r="AB106" s="39"/>
      <c r="AC106" s="39">
        <v>21330</v>
      </c>
      <c r="AD106" s="39">
        <v>5040</v>
      </c>
      <c r="AE106" s="39">
        <f t="shared" si="18"/>
        <v>11298</v>
      </c>
      <c r="AF106" s="39">
        <v>8930</v>
      </c>
      <c r="AG106" s="39"/>
      <c r="AH106" s="39">
        <v>1418</v>
      </c>
      <c r="AI106" s="39"/>
      <c r="AJ106" s="39"/>
      <c r="AK106" s="39"/>
      <c r="AL106" s="39">
        <f t="shared" si="28"/>
        <v>950</v>
      </c>
      <c r="AM106" s="39">
        <v>950</v>
      </c>
      <c r="AN106" s="43"/>
      <c r="AO106" s="43"/>
      <c r="AP106" s="39">
        <f t="shared" si="41"/>
        <v>3506</v>
      </c>
      <c r="AQ106" s="43">
        <v>573</v>
      </c>
      <c r="AR106" s="44">
        <v>761</v>
      </c>
      <c r="AS106" s="44">
        <v>1769</v>
      </c>
      <c r="AT106" s="44">
        <v>403</v>
      </c>
      <c r="AU106" s="39">
        <f t="shared" si="42"/>
        <v>229</v>
      </c>
      <c r="AV106" s="44">
        <f>10+26+84</f>
        <v>120</v>
      </c>
      <c r="AW106" s="39">
        <v>109</v>
      </c>
      <c r="AX106" s="39">
        <f t="shared" si="31"/>
        <v>2689</v>
      </c>
      <c r="AY106" s="39">
        <f>2517-25</f>
        <v>2492</v>
      </c>
      <c r="AZ106" s="39">
        <v>25</v>
      </c>
      <c r="BA106" s="39">
        <v>172</v>
      </c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>
        <v>8</v>
      </c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>
        <v>3100</v>
      </c>
    </row>
    <row r="107" spans="1:77" ht="51">
      <c r="A107" s="37">
        <v>551001</v>
      </c>
      <c r="B107" s="38" t="s">
        <v>183</v>
      </c>
      <c r="C107" s="39">
        <f t="shared" si="23"/>
        <v>1700</v>
      </c>
      <c r="D107" s="39">
        <v>1700</v>
      </c>
      <c r="E107" s="41"/>
      <c r="F107" s="41"/>
      <c r="G107" s="41"/>
      <c r="H107" s="39"/>
      <c r="I107" s="39"/>
      <c r="J107" s="39">
        <f t="shared" si="38"/>
        <v>1400</v>
      </c>
      <c r="K107" s="39">
        <v>1400</v>
      </c>
      <c r="L107" s="41"/>
      <c r="M107" s="41"/>
      <c r="N107" s="41"/>
      <c r="O107" s="41"/>
      <c r="P107" s="39">
        <f t="shared" si="39"/>
        <v>24973</v>
      </c>
      <c r="Q107" s="39">
        <f t="shared" si="25"/>
        <v>8246</v>
      </c>
      <c r="R107" s="39">
        <v>2831</v>
      </c>
      <c r="S107" s="39">
        <v>5415</v>
      </c>
      <c r="T107" s="39">
        <f t="shared" si="40"/>
        <v>11928</v>
      </c>
      <c r="U107" s="39">
        <f>11879+1</f>
        <v>11880</v>
      </c>
      <c r="V107" s="39">
        <v>1</v>
      </c>
      <c r="W107" s="39">
        <v>47</v>
      </c>
      <c r="X107" s="39"/>
      <c r="Y107" s="39">
        <f t="shared" si="27"/>
        <v>4799</v>
      </c>
      <c r="Z107" s="39">
        <v>2320</v>
      </c>
      <c r="AA107" s="39">
        <v>2479</v>
      </c>
      <c r="AB107" s="39"/>
      <c r="AC107" s="39">
        <v>57330</v>
      </c>
      <c r="AD107" s="39">
        <v>12720</v>
      </c>
      <c r="AE107" s="39">
        <f t="shared" si="18"/>
        <v>30805</v>
      </c>
      <c r="AF107" s="39">
        <v>24620</v>
      </c>
      <c r="AG107" s="39"/>
      <c r="AH107" s="39">
        <v>3665</v>
      </c>
      <c r="AI107" s="39"/>
      <c r="AJ107" s="39"/>
      <c r="AK107" s="39"/>
      <c r="AL107" s="39">
        <f t="shared" si="28"/>
        <v>2520</v>
      </c>
      <c r="AM107" s="39">
        <v>2520</v>
      </c>
      <c r="AN107" s="43"/>
      <c r="AO107" s="43"/>
      <c r="AP107" s="39">
        <f t="shared" si="41"/>
        <v>8660</v>
      </c>
      <c r="AQ107" s="43">
        <v>1416</v>
      </c>
      <c r="AR107" s="44">
        <v>1880</v>
      </c>
      <c r="AS107" s="44">
        <v>4368</v>
      </c>
      <c r="AT107" s="44">
        <v>996</v>
      </c>
      <c r="AU107" s="39">
        <f t="shared" si="42"/>
        <v>447</v>
      </c>
      <c r="AV107" s="44">
        <f>10+26+84</f>
        <v>120</v>
      </c>
      <c r="AW107" s="39">
        <v>327</v>
      </c>
      <c r="AX107" s="39">
        <f t="shared" si="31"/>
        <v>6511</v>
      </c>
      <c r="AY107" s="39">
        <f>6411-50</f>
        <v>6361</v>
      </c>
      <c r="AZ107" s="39">
        <v>50</v>
      </c>
      <c r="BA107" s="39">
        <v>100</v>
      </c>
      <c r="BB107" s="39"/>
      <c r="BC107" s="39"/>
      <c r="BD107" s="39">
        <v>2000</v>
      </c>
      <c r="BE107" s="39">
        <v>700</v>
      </c>
      <c r="BF107" s="39"/>
      <c r="BG107" s="39"/>
      <c r="BH107" s="39"/>
      <c r="BI107" s="39"/>
      <c r="BJ107" s="39"/>
      <c r="BK107" s="39"/>
      <c r="BL107" s="39">
        <v>20</v>
      </c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>
        <v>8000</v>
      </c>
    </row>
    <row r="108" spans="1:77" ht="25.5">
      <c r="A108" s="37">
        <v>561001</v>
      </c>
      <c r="B108" s="38" t="s">
        <v>184</v>
      </c>
      <c r="C108" s="39">
        <f t="shared" si="23"/>
        <v>1700</v>
      </c>
      <c r="D108" s="39">
        <v>1700</v>
      </c>
      <c r="E108" s="41"/>
      <c r="F108" s="41"/>
      <c r="G108" s="41"/>
      <c r="H108" s="39"/>
      <c r="I108" s="39"/>
      <c r="J108" s="39">
        <f t="shared" si="38"/>
        <v>1800</v>
      </c>
      <c r="K108" s="39">
        <v>1800</v>
      </c>
      <c r="L108" s="41"/>
      <c r="M108" s="41"/>
      <c r="N108" s="41"/>
      <c r="O108" s="41"/>
      <c r="P108" s="39">
        <f t="shared" si="39"/>
        <v>13064</v>
      </c>
      <c r="Q108" s="39">
        <f t="shared" si="25"/>
        <v>3703</v>
      </c>
      <c r="R108" s="39">
        <v>1336</v>
      </c>
      <c r="S108" s="39">
        <v>2367</v>
      </c>
      <c r="T108" s="39">
        <f t="shared" si="40"/>
        <v>7094</v>
      </c>
      <c r="U108" s="39">
        <v>6959</v>
      </c>
      <c r="V108" s="39">
        <v>2</v>
      </c>
      <c r="W108" s="39">
        <v>37</v>
      </c>
      <c r="X108" s="39">
        <v>96</v>
      </c>
      <c r="Y108" s="39">
        <f t="shared" si="27"/>
        <v>2267</v>
      </c>
      <c r="Z108" s="39">
        <v>1056</v>
      </c>
      <c r="AA108" s="39">
        <v>1211</v>
      </c>
      <c r="AB108" s="39"/>
      <c r="AC108" s="39">
        <v>29680</v>
      </c>
      <c r="AD108" s="39">
        <v>6900</v>
      </c>
      <c r="AE108" s="39">
        <f t="shared" si="18"/>
        <v>15998</v>
      </c>
      <c r="AF108" s="39">
        <v>12610</v>
      </c>
      <c r="AG108" s="39"/>
      <c r="AH108" s="39">
        <v>2038</v>
      </c>
      <c r="AI108" s="39"/>
      <c r="AJ108" s="39"/>
      <c r="AK108" s="39"/>
      <c r="AL108" s="39">
        <f t="shared" si="28"/>
        <v>1350</v>
      </c>
      <c r="AM108" s="39">
        <v>1350</v>
      </c>
      <c r="AN108" s="43"/>
      <c r="AO108" s="43"/>
      <c r="AP108" s="39">
        <f t="shared" si="41"/>
        <v>4927</v>
      </c>
      <c r="AQ108" s="43">
        <v>806</v>
      </c>
      <c r="AR108" s="44">
        <v>1069</v>
      </c>
      <c r="AS108" s="44">
        <v>2486</v>
      </c>
      <c r="AT108" s="44">
        <v>566</v>
      </c>
      <c r="AU108" s="39">
        <f t="shared" si="42"/>
        <v>338</v>
      </c>
      <c r="AV108" s="44">
        <f>10+26+84</f>
        <v>120</v>
      </c>
      <c r="AW108" s="39">
        <v>218</v>
      </c>
      <c r="AX108" s="39">
        <f t="shared" si="31"/>
        <v>3514</v>
      </c>
      <c r="AY108" s="39">
        <f>3514-22</f>
        <v>3492</v>
      </c>
      <c r="AZ108" s="39">
        <v>22</v>
      </c>
      <c r="BA108" s="39"/>
      <c r="BB108" s="39">
        <v>200</v>
      </c>
      <c r="BC108" s="39"/>
      <c r="BD108" s="39">
        <v>1000</v>
      </c>
      <c r="BE108" s="39">
        <v>600</v>
      </c>
      <c r="BF108" s="39"/>
      <c r="BG108" s="39"/>
      <c r="BH108" s="39"/>
      <c r="BI108" s="39"/>
      <c r="BJ108" s="39"/>
      <c r="BK108" s="39"/>
      <c r="BL108" s="39">
        <v>10</v>
      </c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>
        <v>4400</v>
      </c>
    </row>
    <row r="109" spans="1:77" ht="25.5">
      <c r="A109" s="37">
        <v>571001</v>
      </c>
      <c r="B109" s="38" t="s">
        <v>185</v>
      </c>
      <c r="C109" s="39">
        <f t="shared" si="23"/>
        <v>3500</v>
      </c>
      <c r="D109" s="39">
        <v>3500</v>
      </c>
      <c r="E109" s="41"/>
      <c r="F109" s="41"/>
      <c r="G109" s="41"/>
      <c r="H109" s="39"/>
      <c r="I109" s="39"/>
      <c r="J109" s="39">
        <f t="shared" si="38"/>
        <v>2900</v>
      </c>
      <c r="K109" s="39">
        <v>2900</v>
      </c>
      <c r="L109" s="41"/>
      <c r="M109" s="41"/>
      <c r="N109" s="41"/>
      <c r="O109" s="41"/>
      <c r="P109" s="39">
        <f t="shared" si="39"/>
        <v>40063</v>
      </c>
      <c r="Q109" s="39">
        <f t="shared" si="25"/>
        <v>13577</v>
      </c>
      <c r="R109" s="39">
        <v>4368</v>
      </c>
      <c r="S109" s="39">
        <v>9209</v>
      </c>
      <c r="T109" s="39">
        <f t="shared" si="40"/>
        <v>19142</v>
      </c>
      <c r="U109" s="39">
        <f>18943+2</f>
        <v>18945</v>
      </c>
      <c r="V109" s="39">
        <v>35</v>
      </c>
      <c r="W109" s="39">
        <v>162</v>
      </c>
      <c r="X109" s="39"/>
      <c r="Y109" s="39">
        <f t="shared" si="27"/>
        <v>7344</v>
      </c>
      <c r="Z109" s="39">
        <v>3704</v>
      </c>
      <c r="AA109" s="39">
        <v>3640</v>
      </c>
      <c r="AB109" s="39"/>
      <c r="AC109" s="39">
        <v>94730</v>
      </c>
      <c r="AD109" s="39">
        <v>20470</v>
      </c>
      <c r="AE109" s="39">
        <f t="shared" si="18"/>
        <v>47990</v>
      </c>
      <c r="AF109" s="39">
        <v>38150</v>
      </c>
      <c r="AG109" s="39"/>
      <c r="AH109" s="39">
        <v>5790</v>
      </c>
      <c r="AI109" s="39"/>
      <c r="AJ109" s="39"/>
      <c r="AK109" s="39"/>
      <c r="AL109" s="39">
        <f t="shared" si="28"/>
        <v>4050</v>
      </c>
      <c r="AM109" s="39">
        <v>4050</v>
      </c>
      <c r="AN109" s="43"/>
      <c r="AO109" s="43"/>
      <c r="AP109" s="39">
        <f t="shared" si="41"/>
        <v>13449</v>
      </c>
      <c r="AQ109" s="43">
        <v>2199</v>
      </c>
      <c r="AR109" s="44">
        <v>2919</v>
      </c>
      <c r="AS109" s="44">
        <v>6785</v>
      </c>
      <c r="AT109" s="44">
        <v>1546</v>
      </c>
      <c r="AU109" s="39">
        <f t="shared" si="42"/>
        <v>1068</v>
      </c>
      <c r="AV109" s="44">
        <f>20+53+167</f>
        <v>240</v>
      </c>
      <c r="AW109" s="39">
        <v>828</v>
      </c>
      <c r="AX109" s="39">
        <f t="shared" si="31"/>
        <v>10505</v>
      </c>
      <c r="AY109" s="39">
        <f>10105-111</f>
        <v>9994</v>
      </c>
      <c r="AZ109" s="39">
        <v>111</v>
      </c>
      <c r="BA109" s="39">
        <v>400</v>
      </c>
      <c r="BB109" s="39"/>
      <c r="BC109" s="39"/>
      <c r="BD109" s="39">
        <v>10000</v>
      </c>
      <c r="BE109" s="39">
        <v>2000</v>
      </c>
      <c r="BF109" s="39"/>
      <c r="BG109" s="39"/>
      <c r="BH109" s="39"/>
      <c r="BI109" s="39"/>
      <c r="BJ109" s="39"/>
      <c r="BK109" s="39"/>
      <c r="BL109" s="39">
        <v>35</v>
      </c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>
        <v>12600</v>
      </c>
    </row>
    <row r="110" spans="1:77" ht="25.5">
      <c r="A110" s="37">
        <v>581001</v>
      </c>
      <c r="B110" s="38" t="s">
        <v>186</v>
      </c>
      <c r="C110" s="39">
        <f t="shared" si="23"/>
        <v>2200</v>
      </c>
      <c r="D110" s="39">
        <v>2200</v>
      </c>
      <c r="E110" s="41"/>
      <c r="F110" s="41"/>
      <c r="G110" s="41"/>
      <c r="H110" s="39"/>
      <c r="I110" s="39"/>
      <c r="J110" s="39">
        <f t="shared" si="38"/>
        <v>1300</v>
      </c>
      <c r="K110" s="39">
        <v>1300</v>
      </c>
      <c r="L110" s="41"/>
      <c r="M110" s="41"/>
      <c r="N110" s="41"/>
      <c r="O110" s="41"/>
      <c r="P110" s="39">
        <f t="shared" si="39"/>
        <v>12193</v>
      </c>
      <c r="Q110" s="39">
        <f t="shared" si="25"/>
        <v>4041</v>
      </c>
      <c r="R110" s="39">
        <v>1199</v>
      </c>
      <c r="S110" s="39">
        <v>2842</v>
      </c>
      <c r="T110" s="39">
        <f t="shared" si="40"/>
        <v>6066</v>
      </c>
      <c r="U110" s="39">
        <v>6027</v>
      </c>
      <c r="V110" s="39">
        <v>2</v>
      </c>
      <c r="W110" s="39">
        <v>37</v>
      </c>
      <c r="X110" s="39"/>
      <c r="Y110" s="39">
        <f t="shared" si="27"/>
        <v>2086</v>
      </c>
      <c r="Z110" s="39">
        <v>988</v>
      </c>
      <c r="AA110" s="39">
        <v>1098</v>
      </c>
      <c r="AB110" s="39"/>
      <c r="AC110" s="39">
        <v>29720</v>
      </c>
      <c r="AD110" s="39">
        <v>6710</v>
      </c>
      <c r="AE110" s="39">
        <f t="shared" si="18"/>
        <v>15300</v>
      </c>
      <c r="AF110" s="39">
        <v>12260</v>
      </c>
      <c r="AG110" s="39"/>
      <c r="AH110" s="39">
        <v>1790</v>
      </c>
      <c r="AI110" s="39"/>
      <c r="AJ110" s="39"/>
      <c r="AK110" s="39"/>
      <c r="AL110" s="39">
        <f t="shared" si="28"/>
        <v>1250</v>
      </c>
      <c r="AM110" s="39">
        <v>1250</v>
      </c>
      <c r="AN110" s="43"/>
      <c r="AO110" s="43"/>
      <c r="AP110" s="39">
        <f t="shared" si="41"/>
        <v>4274</v>
      </c>
      <c r="AQ110" s="43">
        <v>699</v>
      </c>
      <c r="AR110" s="44">
        <v>928</v>
      </c>
      <c r="AS110" s="44">
        <v>2156</v>
      </c>
      <c r="AT110" s="44">
        <v>491</v>
      </c>
      <c r="AU110" s="39">
        <f t="shared" si="42"/>
        <v>338</v>
      </c>
      <c r="AV110" s="44">
        <f>10+26+84</f>
        <v>120</v>
      </c>
      <c r="AW110" s="39">
        <v>218</v>
      </c>
      <c r="AX110" s="39">
        <f t="shared" si="31"/>
        <v>3374</v>
      </c>
      <c r="AY110" s="39">
        <f>3224-32</f>
        <v>3192</v>
      </c>
      <c r="AZ110" s="39">
        <v>32</v>
      </c>
      <c r="BA110" s="39">
        <v>150</v>
      </c>
      <c r="BB110" s="39"/>
      <c r="BC110" s="39"/>
      <c r="BD110" s="39">
        <v>2000</v>
      </c>
      <c r="BE110" s="39">
        <v>400</v>
      </c>
      <c r="BF110" s="39"/>
      <c r="BG110" s="39"/>
      <c r="BH110" s="39"/>
      <c r="BI110" s="39"/>
      <c r="BJ110" s="39"/>
      <c r="BK110" s="39"/>
      <c r="BL110" s="39">
        <v>10</v>
      </c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>
        <v>4000</v>
      </c>
    </row>
    <row r="111" spans="1:77" ht="51">
      <c r="A111" s="37">
        <v>591001</v>
      </c>
      <c r="B111" s="38" t="s">
        <v>187</v>
      </c>
      <c r="C111" s="39">
        <f t="shared" si="23"/>
        <v>2000</v>
      </c>
      <c r="D111" s="39">
        <v>2000</v>
      </c>
      <c r="E111" s="41"/>
      <c r="F111" s="41"/>
      <c r="G111" s="41"/>
      <c r="H111" s="39"/>
      <c r="I111" s="39"/>
      <c r="J111" s="39">
        <f t="shared" si="38"/>
        <v>1600</v>
      </c>
      <c r="K111" s="39">
        <v>1600</v>
      </c>
      <c r="L111" s="41"/>
      <c r="M111" s="41"/>
      <c r="N111" s="41"/>
      <c r="O111" s="41"/>
      <c r="P111" s="39">
        <f t="shared" si="39"/>
        <v>22073</v>
      </c>
      <c r="Q111" s="39">
        <f t="shared" si="25"/>
        <v>7337</v>
      </c>
      <c r="R111" s="39">
        <v>2322</v>
      </c>
      <c r="S111" s="39">
        <v>5015</v>
      </c>
      <c r="T111" s="39">
        <f t="shared" si="40"/>
        <v>10887</v>
      </c>
      <c r="U111" s="39">
        <f>10694+1</f>
        <v>10695</v>
      </c>
      <c r="V111" s="39">
        <v>8</v>
      </c>
      <c r="W111" s="39">
        <v>84</v>
      </c>
      <c r="X111" s="39">
        <v>100</v>
      </c>
      <c r="Y111" s="39">
        <f t="shared" si="27"/>
        <v>3849</v>
      </c>
      <c r="Z111" s="39">
        <v>1810</v>
      </c>
      <c r="AA111" s="39">
        <v>2039</v>
      </c>
      <c r="AB111" s="39"/>
      <c r="AC111" s="39">
        <v>52910</v>
      </c>
      <c r="AD111" s="39">
        <v>11530</v>
      </c>
      <c r="AE111" s="39">
        <f t="shared" si="18"/>
        <v>26696</v>
      </c>
      <c r="AF111" s="39">
        <v>21260</v>
      </c>
      <c r="AG111" s="39"/>
      <c r="AH111" s="39">
        <v>3206</v>
      </c>
      <c r="AI111" s="39"/>
      <c r="AJ111" s="39"/>
      <c r="AK111" s="39"/>
      <c r="AL111" s="39">
        <f t="shared" si="28"/>
        <v>2230</v>
      </c>
      <c r="AM111" s="39">
        <v>2230</v>
      </c>
      <c r="AN111" s="43"/>
      <c r="AO111" s="43"/>
      <c r="AP111" s="39">
        <f t="shared" si="41"/>
        <v>7676</v>
      </c>
      <c r="AQ111" s="43">
        <v>1255</v>
      </c>
      <c r="AR111" s="44">
        <v>1666</v>
      </c>
      <c r="AS111" s="44">
        <v>3872</v>
      </c>
      <c r="AT111" s="44">
        <v>883</v>
      </c>
      <c r="AU111" s="39">
        <f>AV111+AW111</f>
        <v>218</v>
      </c>
      <c r="AV111" s="44"/>
      <c r="AW111" s="39">
        <v>218</v>
      </c>
      <c r="AX111" s="39">
        <f t="shared" si="31"/>
        <v>5861</v>
      </c>
      <c r="AY111" s="39">
        <f>5761-63</f>
        <v>5698</v>
      </c>
      <c r="AZ111" s="39">
        <v>63</v>
      </c>
      <c r="BA111" s="39">
        <v>100</v>
      </c>
      <c r="BB111" s="39"/>
      <c r="BC111" s="39"/>
      <c r="BD111" s="39">
        <v>3500</v>
      </c>
      <c r="BE111" s="39">
        <v>500</v>
      </c>
      <c r="BF111" s="39"/>
      <c r="BG111" s="39"/>
      <c r="BH111" s="39"/>
      <c r="BI111" s="39"/>
      <c r="BJ111" s="39"/>
      <c r="BK111" s="39"/>
      <c r="BL111" s="39">
        <v>10</v>
      </c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>
        <v>7200</v>
      </c>
    </row>
    <row r="112" spans="1:77" ht="38.25">
      <c r="A112" s="37">
        <v>601001</v>
      </c>
      <c r="B112" s="38" t="s">
        <v>188</v>
      </c>
      <c r="C112" s="39">
        <f t="shared" si="23"/>
        <v>9150</v>
      </c>
      <c r="D112" s="39">
        <v>9150</v>
      </c>
      <c r="E112" s="41"/>
      <c r="F112" s="41"/>
      <c r="G112" s="41"/>
      <c r="H112" s="39"/>
      <c r="I112" s="39"/>
      <c r="J112" s="39">
        <f t="shared" si="38"/>
        <v>2900</v>
      </c>
      <c r="K112" s="39">
        <v>2900</v>
      </c>
      <c r="L112" s="41"/>
      <c r="M112" s="41"/>
      <c r="N112" s="41"/>
      <c r="O112" s="41"/>
      <c r="P112" s="39">
        <f t="shared" si="39"/>
        <v>39979</v>
      </c>
      <c r="Q112" s="39">
        <f t="shared" si="25"/>
        <v>11941</v>
      </c>
      <c r="R112" s="39">
        <v>3726</v>
      </c>
      <c r="S112" s="39">
        <v>8215</v>
      </c>
      <c r="T112" s="39">
        <f t="shared" si="40"/>
        <v>21156</v>
      </c>
      <c r="U112" s="39">
        <f>20858+2</f>
        <v>20860</v>
      </c>
      <c r="V112" s="39">
        <v>1</v>
      </c>
      <c r="W112" s="39">
        <v>122</v>
      </c>
      <c r="X112" s="39">
        <v>173</v>
      </c>
      <c r="Y112" s="39">
        <f t="shared" si="27"/>
        <v>6882</v>
      </c>
      <c r="Z112" s="39">
        <v>3393</v>
      </c>
      <c r="AA112" s="39">
        <v>3489</v>
      </c>
      <c r="AB112" s="39"/>
      <c r="AC112" s="39">
        <v>95810</v>
      </c>
      <c r="AD112" s="39">
        <v>21080</v>
      </c>
      <c r="AE112" s="39">
        <f t="shared" si="18"/>
        <v>50935</v>
      </c>
      <c r="AF112" s="39">
        <v>40710</v>
      </c>
      <c r="AG112" s="39"/>
      <c r="AH112" s="39">
        <v>6125</v>
      </c>
      <c r="AI112" s="39"/>
      <c r="AJ112" s="39"/>
      <c r="AK112" s="39"/>
      <c r="AL112" s="39">
        <f t="shared" si="28"/>
        <v>4100</v>
      </c>
      <c r="AM112" s="39">
        <v>4100</v>
      </c>
      <c r="AN112" s="43"/>
      <c r="AO112" s="43"/>
      <c r="AP112" s="39">
        <f t="shared" si="41"/>
        <v>12112</v>
      </c>
      <c r="AQ112" s="43"/>
      <c r="AR112" s="44">
        <v>3143</v>
      </c>
      <c r="AS112" s="44">
        <v>7304</v>
      </c>
      <c r="AT112" s="44">
        <v>1665</v>
      </c>
      <c r="AU112" s="39">
        <f t="shared" ref="AU112" si="43">AV112+AW112</f>
        <v>1122</v>
      </c>
      <c r="AV112" s="44">
        <f>30+79+251</f>
        <v>360</v>
      </c>
      <c r="AW112" s="39">
        <v>762</v>
      </c>
      <c r="AX112" s="39">
        <f t="shared" si="31"/>
        <v>10831</v>
      </c>
      <c r="AY112" s="39">
        <f>10531-92</f>
        <v>10439</v>
      </c>
      <c r="AZ112" s="39">
        <v>92</v>
      </c>
      <c r="BA112" s="39">
        <v>300</v>
      </c>
      <c r="BB112" s="39">
        <v>3100</v>
      </c>
      <c r="BC112" s="39"/>
      <c r="BD112" s="39">
        <v>3000</v>
      </c>
      <c r="BE112" s="39">
        <v>500</v>
      </c>
      <c r="BF112" s="39"/>
      <c r="BG112" s="39"/>
      <c r="BH112" s="39"/>
      <c r="BI112" s="39"/>
      <c r="BJ112" s="39"/>
      <c r="BK112" s="39"/>
      <c r="BL112" s="39">
        <v>35</v>
      </c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>
        <v>13100</v>
      </c>
    </row>
    <row r="113" spans="1:77">
      <c r="A113" s="37">
        <v>605301</v>
      </c>
      <c r="B113" s="38" t="s">
        <v>189</v>
      </c>
      <c r="C113" s="39">
        <f t="shared" si="23"/>
        <v>0</v>
      </c>
      <c r="D113" s="39"/>
      <c r="E113" s="41"/>
      <c r="F113" s="41"/>
      <c r="G113" s="41"/>
      <c r="H113" s="39"/>
      <c r="I113" s="39"/>
      <c r="J113" s="39"/>
      <c r="K113" s="39"/>
      <c r="L113" s="41"/>
      <c r="M113" s="41"/>
      <c r="N113" s="41"/>
      <c r="O113" s="41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>
        <v>3000</v>
      </c>
      <c r="AD113" s="39">
        <v>1000</v>
      </c>
      <c r="AE113" s="39">
        <f t="shared" si="18"/>
        <v>500</v>
      </c>
      <c r="AF113" s="39">
        <v>500</v>
      </c>
      <c r="AG113" s="39"/>
      <c r="AH113" s="39"/>
      <c r="AI113" s="39"/>
      <c r="AJ113" s="39"/>
      <c r="AK113" s="39"/>
      <c r="AL113" s="39"/>
      <c r="AM113" s="39"/>
      <c r="AN113" s="43"/>
      <c r="AO113" s="43"/>
      <c r="AP113" s="39"/>
      <c r="AQ113" s="43"/>
      <c r="AR113" s="44"/>
      <c r="AS113" s="44"/>
      <c r="AT113" s="44"/>
      <c r="AU113" s="39"/>
      <c r="AV113" s="44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</row>
    <row r="114" spans="1:77" ht="25.5">
      <c r="A114" s="37">
        <v>611001</v>
      </c>
      <c r="B114" s="38" t="s">
        <v>190</v>
      </c>
      <c r="C114" s="39">
        <f t="shared" si="23"/>
        <v>4350</v>
      </c>
      <c r="D114" s="39">
        <v>4350</v>
      </c>
      <c r="E114" s="41"/>
      <c r="F114" s="41"/>
      <c r="G114" s="41"/>
      <c r="H114" s="39"/>
      <c r="I114" s="39"/>
      <c r="J114" s="39">
        <f>K114+O114</f>
        <v>1000</v>
      </c>
      <c r="K114" s="39">
        <v>1000</v>
      </c>
      <c r="L114" s="41"/>
      <c r="M114" s="41"/>
      <c r="N114" s="41"/>
      <c r="O114" s="41"/>
      <c r="P114" s="39">
        <f>Q114+T114+Y114</f>
        <v>30719</v>
      </c>
      <c r="Q114" s="39">
        <f t="shared" si="25"/>
        <v>10637</v>
      </c>
      <c r="R114" s="39">
        <v>3273</v>
      </c>
      <c r="S114" s="39">
        <v>7364</v>
      </c>
      <c r="T114" s="39">
        <f>U114+V114+W114+X114</f>
        <v>14683</v>
      </c>
      <c r="U114" s="39">
        <f>14565+1</f>
        <v>14566</v>
      </c>
      <c r="V114" s="39">
        <v>2</v>
      </c>
      <c r="W114" s="39">
        <v>115</v>
      </c>
      <c r="X114" s="39"/>
      <c r="Y114" s="39">
        <f t="shared" si="27"/>
        <v>5399</v>
      </c>
      <c r="Z114" s="39">
        <v>2625</v>
      </c>
      <c r="AA114" s="39">
        <v>2774</v>
      </c>
      <c r="AB114" s="39"/>
      <c r="AC114" s="39">
        <v>74380</v>
      </c>
      <c r="AD114" s="39">
        <v>16260</v>
      </c>
      <c r="AE114" s="39">
        <f t="shared" si="18"/>
        <v>37726</v>
      </c>
      <c r="AF114" s="39">
        <v>30180</v>
      </c>
      <c r="AG114" s="39"/>
      <c r="AH114" s="39">
        <v>4397</v>
      </c>
      <c r="AI114" s="39"/>
      <c r="AJ114" s="39"/>
      <c r="AK114" s="39"/>
      <c r="AL114" s="39">
        <f t="shared" si="28"/>
        <v>3149</v>
      </c>
      <c r="AM114" s="39">
        <v>3149</v>
      </c>
      <c r="AN114" s="43"/>
      <c r="AO114" s="43"/>
      <c r="AP114" s="39">
        <f>AQ114+AR114+AS114+AT114</f>
        <v>10439</v>
      </c>
      <c r="AQ114" s="43">
        <v>1707</v>
      </c>
      <c r="AR114" s="44">
        <v>2266</v>
      </c>
      <c r="AS114" s="44">
        <v>5266</v>
      </c>
      <c r="AT114" s="44">
        <v>1200</v>
      </c>
      <c r="AU114" s="39">
        <f t="shared" ref="AU114" si="44">AV114+AW114</f>
        <v>578</v>
      </c>
      <c r="AV114" s="44">
        <f>30+79+251</f>
        <v>360</v>
      </c>
      <c r="AW114" s="39">
        <v>218</v>
      </c>
      <c r="AX114" s="39">
        <f t="shared" si="31"/>
        <v>8462</v>
      </c>
      <c r="AY114" s="39">
        <f>7962-86</f>
        <v>7876</v>
      </c>
      <c r="AZ114" s="39">
        <v>86</v>
      </c>
      <c r="BA114" s="39">
        <v>500</v>
      </c>
      <c r="BB114" s="39"/>
      <c r="BC114" s="39"/>
      <c r="BD114" s="39">
        <v>4500</v>
      </c>
      <c r="BE114" s="39">
        <v>500</v>
      </c>
      <c r="BF114" s="39"/>
      <c r="BG114" s="39"/>
      <c r="BH114" s="39"/>
      <c r="BI114" s="39"/>
      <c r="BJ114" s="39"/>
      <c r="BK114" s="39"/>
      <c r="BL114" s="39">
        <v>20</v>
      </c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>
        <v>11200</v>
      </c>
    </row>
    <row r="115" spans="1:77" ht="25.5">
      <c r="A115" s="37">
        <v>615301</v>
      </c>
      <c r="B115" s="38" t="s">
        <v>191</v>
      </c>
      <c r="C115" s="39">
        <f t="shared" si="23"/>
        <v>0</v>
      </c>
      <c r="D115" s="39"/>
      <c r="E115" s="41"/>
      <c r="F115" s="41"/>
      <c r="G115" s="41"/>
      <c r="H115" s="39"/>
      <c r="I115" s="39"/>
      <c r="J115" s="39"/>
      <c r="K115" s="39"/>
      <c r="L115" s="41"/>
      <c r="M115" s="41"/>
      <c r="N115" s="41"/>
      <c r="O115" s="41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>
        <v>15520</v>
      </c>
      <c r="AD115" s="39">
        <v>5700</v>
      </c>
      <c r="AE115" s="39">
        <f t="shared" si="18"/>
        <v>2680</v>
      </c>
      <c r="AF115" s="39">
        <v>2680</v>
      </c>
      <c r="AG115" s="39"/>
      <c r="AH115" s="39"/>
      <c r="AI115" s="39"/>
      <c r="AJ115" s="39"/>
      <c r="AK115" s="39"/>
      <c r="AL115" s="39"/>
      <c r="AM115" s="39"/>
      <c r="AN115" s="43"/>
      <c r="AO115" s="43"/>
      <c r="AP115" s="39"/>
      <c r="AQ115" s="43"/>
      <c r="AR115" s="44"/>
      <c r="AS115" s="44"/>
      <c r="AT115" s="44"/>
      <c r="AU115" s="39"/>
      <c r="AV115" s="44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</row>
    <row r="116" spans="1:77" ht="25.5">
      <c r="A116" s="37">
        <v>621001</v>
      </c>
      <c r="B116" s="38" t="s">
        <v>192</v>
      </c>
      <c r="C116" s="39">
        <f t="shared" si="23"/>
        <v>1350</v>
      </c>
      <c r="D116" s="39">
        <v>1350</v>
      </c>
      <c r="E116" s="41"/>
      <c r="F116" s="41"/>
      <c r="G116" s="41"/>
      <c r="H116" s="39"/>
      <c r="I116" s="39"/>
      <c r="J116" s="39">
        <f>K116+O116</f>
        <v>900</v>
      </c>
      <c r="K116" s="39">
        <v>900</v>
      </c>
      <c r="L116" s="41"/>
      <c r="M116" s="41"/>
      <c r="N116" s="41"/>
      <c r="O116" s="41"/>
      <c r="P116" s="39">
        <f>Q116+T116+Y116</f>
        <v>9681</v>
      </c>
      <c r="Q116" s="39">
        <f t="shared" si="25"/>
        <v>2867</v>
      </c>
      <c r="R116" s="39">
        <v>1002</v>
      </c>
      <c r="S116" s="39">
        <v>1865</v>
      </c>
      <c r="T116" s="39">
        <f>U116+V116+W116+X116</f>
        <v>5135</v>
      </c>
      <c r="U116" s="39">
        <f>5111+1</f>
        <v>5112</v>
      </c>
      <c r="V116" s="39">
        <v>5</v>
      </c>
      <c r="W116" s="39">
        <v>18</v>
      </c>
      <c r="X116" s="39"/>
      <c r="Y116" s="39">
        <f t="shared" si="27"/>
        <v>1679</v>
      </c>
      <c r="Z116" s="39">
        <v>777</v>
      </c>
      <c r="AA116" s="39">
        <v>902</v>
      </c>
      <c r="AB116" s="39"/>
      <c r="AC116" s="39">
        <v>23260</v>
      </c>
      <c r="AD116" s="39">
        <v>5510</v>
      </c>
      <c r="AE116" s="39">
        <f t="shared" si="18"/>
        <v>12460</v>
      </c>
      <c r="AF116" s="39">
        <v>9960</v>
      </c>
      <c r="AG116" s="39"/>
      <c r="AH116" s="39">
        <v>1500</v>
      </c>
      <c r="AI116" s="39"/>
      <c r="AJ116" s="39"/>
      <c r="AK116" s="39"/>
      <c r="AL116" s="39">
        <f t="shared" si="28"/>
        <v>1000</v>
      </c>
      <c r="AM116" s="39">
        <v>1000</v>
      </c>
      <c r="AN116" s="43"/>
      <c r="AO116" s="43"/>
      <c r="AP116" s="39">
        <f t="shared" ref="AP116:AP117" si="45">AQ116+AR116+AS116+AT116</f>
        <v>3662</v>
      </c>
      <c r="AQ116" s="43">
        <v>599</v>
      </c>
      <c r="AR116" s="44">
        <v>795</v>
      </c>
      <c r="AS116" s="44">
        <v>1847</v>
      </c>
      <c r="AT116" s="44">
        <v>421</v>
      </c>
      <c r="AU116" s="39">
        <f>AV116+AW116</f>
        <v>218</v>
      </c>
      <c r="AV116" s="44"/>
      <c r="AW116" s="39">
        <v>218</v>
      </c>
      <c r="AX116" s="39">
        <f t="shared" si="31"/>
        <v>2641</v>
      </c>
      <c r="AY116" s="39">
        <f>2641-25</f>
        <v>2616</v>
      </c>
      <c r="AZ116" s="39">
        <v>25</v>
      </c>
      <c r="BA116" s="39"/>
      <c r="BB116" s="39"/>
      <c r="BC116" s="39"/>
      <c r="BD116" s="39">
        <v>100</v>
      </c>
      <c r="BE116" s="39">
        <v>1000</v>
      </c>
      <c r="BF116" s="39"/>
      <c r="BG116" s="39"/>
      <c r="BH116" s="39"/>
      <c r="BI116" s="39"/>
      <c r="BJ116" s="39"/>
      <c r="BK116" s="39"/>
      <c r="BL116" s="39">
        <v>10</v>
      </c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>
        <v>3300</v>
      </c>
    </row>
    <row r="117" spans="1:77" ht="25.5">
      <c r="A117" s="37">
        <v>711001</v>
      </c>
      <c r="B117" s="38" t="s">
        <v>193</v>
      </c>
      <c r="C117" s="39">
        <f t="shared" si="23"/>
        <v>3140</v>
      </c>
      <c r="D117" s="39">
        <f>2564+140</f>
        <v>2704</v>
      </c>
      <c r="E117" s="41"/>
      <c r="F117" s="41"/>
      <c r="G117" s="41"/>
      <c r="H117" s="39">
        <v>36</v>
      </c>
      <c r="I117" s="39">
        <v>400</v>
      </c>
      <c r="J117" s="39">
        <f>K117+O117</f>
        <v>700</v>
      </c>
      <c r="K117" s="39">
        <v>700</v>
      </c>
      <c r="L117" s="41"/>
      <c r="M117" s="41"/>
      <c r="N117" s="41"/>
      <c r="O117" s="41"/>
      <c r="P117" s="39">
        <f>Q117+T117+Y117</f>
        <v>18611</v>
      </c>
      <c r="Q117" s="39">
        <f t="shared" si="25"/>
        <v>2398</v>
      </c>
      <c r="R117" s="39">
        <v>2398</v>
      </c>
      <c r="S117" s="39"/>
      <c r="T117" s="39">
        <f>U117+V117+W117+X117</f>
        <v>11870</v>
      </c>
      <c r="U117" s="39">
        <f>11858+1</f>
        <v>11859</v>
      </c>
      <c r="V117" s="39">
        <v>11</v>
      </c>
      <c r="W117" s="39"/>
      <c r="X117" s="39"/>
      <c r="Y117" s="39">
        <f t="shared" si="27"/>
        <v>4343</v>
      </c>
      <c r="Z117" s="39">
        <v>1969</v>
      </c>
      <c r="AA117" s="39">
        <v>2374</v>
      </c>
      <c r="AB117" s="39"/>
      <c r="AC117" s="39">
        <v>34400</v>
      </c>
      <c r="AD117" s="39">
        <v>9660</v>
      </c>
      <c r="AE117" s="39">
        <f t="shared" si="18"/>
        <v>21240</v>
      </c>
      <c r="AF117" s="39">
        <v>15720</v>
      </c>
      <c r="AG117" s="39"/>
      <c r="AH117" s="39">
        <v>3570</v>
      </c>
      <c r="AI117" s="39"/>
      <c r="AJ117" s="39"/>
      <c r="AK117" s="39"/>
      <c r="AL117" s="39">
        <f t="shared" si="28"/>
        <v>1950</v>
      </c>
      <c r="AM117" s="39">
        <v>1950</v>
      </c>
      <c r="AN117" s="43"/>
      <c r="AO117" s="43"/>
      <c r="AP117" s="39">
        <f t="shared" si="45"/>
        <v>8736</v>
      </c>
      <c r="AQ117" s="43">
        <v>1429</v>
      </c>
      <c r="AR117" s="44">
        <v>1896</v>
      </c>
      <c r="AS117" s="44">
        <v>4407</v>
      </c>
      <c r="AT117" s="44">
        <v>1004</v>
      </c>
      <c r="AU117" s="39"/>
      <c r="AV117" s="44"/>
      <c r="AW117" s="39"/>
      <c r="AX117" s="39">
        <f t="shared" si="31"/>
        <v>5197</v>
      </c>
      <c r="AY117" s="39">
        <v>5197</v>
      </c>
      <c r="AZ117" s="39"/>
      <c r="BA117" s="39"/>
      <c r="BB117" s="39">
        <v>700</v>
      </c>
      <c r="BC117" s="39">
        <v>500</v>
      </c>
      <c r="BD117" s="39">
        <v>3000</v>
      </c>
      <c r="BE117" s="39">
        <v>500</v>
      </c>
      <c r="BF117" s="39"/>
      <c r="BG117" s="39">
        <v>100</v>
      </c>
      <c r="BH117" s="39"/>
      <c r="BI117" s="39"/>
      <c r="BJ117" s="39"/>
      <c r="BK117" s="39"/>
      <c r="BL117" s="39">
        <v>20</v>
      </c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</row>
    <row r="118" spans="1:77" ht="38.25">
      <c r="A118" s="37">
        <v>731002</v>
      </c>
      <c r="B118" s="38" t="s">
        <v>194</v>
      </c>
      <c r="C118" s="39">
        <f t="shared" si="23"/>
        <v>0</v>
      </c>
      <c r="D118" s="39"/>
      <c r="E118" s="41"/>
      <c r="F118" s="41"/>
      <c r="G118" s="41"/>
      <c r="H118" s="39"/>
      <c r="I118" s="39"/>
      <c r="J118" s="39"/>
      <c r="K118" s="39"/>
      <c r="L118" s="41"/>
      <c r="M118" s="41"/>
      <c r="N118" s="41"/>
      <c r="O118" s="41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>
        <v>330</v>
      </c>
      <c r="AD118" s="39">
        <v>10</v>
      </c>
      <c r="AE118" s="39">
        <f t="shared" si="18"/>
        <v>160</v>
      </c>
      <c r="AF118" s="39">
        <v>160</v>
      </c>
      <c r="AG118" s="39"/>
      <c r="AH118" s="39"/>
      <c r="AI118" s="39"/>
      <c r="AJ118" s="39"/>
      <c r="AK118" s="39"/>
      <c r="AL118" s="39"/>
      <c r="AM118" s="39"/>
      <c r="AN118" s="43"/>
      <c r="AO118" s="43"/>
      <c r="AP118" s="39"/>
      <c r="AQ118" s="43"/>
      <c r="AR118" s="44"/>
      <c r="AS118" s="44"/>
      <c r="AT118" s="44"/>
      <c r="AU118" s="39"/>
      <c r="AV118" s="44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</row>
    <row r="119" spans="1:77" ht="38.25">
      <c r="A119" s="37">
        <v>741904</v>
      </c>
      <c r="B119" s="38" t="s">
        <v>195</v>
      </c>
      <c r="C119" s="39">
        <f t="shared" si="23"/>
        <v>0</v>
      </c>
      <c r="D119" s="42">
        <f>100-100</f>
        <v>0</v>
      </c>
      <c r="E119" s="41"/>
      <c r="F119" s="41"/>
      <c r="G119" s="41"/>
      <c r="H119" s="39"/>
      <c r="I119" s="39"/>
      <c r="J119" s="39">
        <f>K119+O119</f>
        <v>100</v>
      </c>
      <c r="K119" s="39">
        <v>100</v>
      </c>
      <c r="L119" s="41"/>
      <c r="M119" s="41"/>
      <c r="N119" s="41"/>
      <c r="O119" s="41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>
        <v>2050</v>
      </c>
      <c r="AD119" s="39">
        <v>20</v>
      </c>
      <c r="AE119" s="39">
        <f t="shared" si="18"/>
        <v>1990</v>
      </c>
      <c r="AF119" s="39">
        <v>1990</v>
      </c>
      <c r="AG119" s="39"/>
      <c r="AH119" s="39"/>
      <c r="AI119" s="39"/>
      <c r="AJ119" s="39"/>
      <c r="AK119" s="39"/>
      <c r="AL119" s="39"/>
      <c r="AM119" s="39"/>
      <c r="AN119" s="43"/>
      <c r="AO119" s="43"/>
      <c r="AP119" s="39"/>
      <c r="AQ119" s="43"/>
      <c r="AR119" s="44"/>
      <c r="AS119" s="44"/>
      <c r="AT119" s="44"/>
      <c r="AU119" s="39"/>
      <c r="AV119" s="44"/>
      <c r="AW119" s="39"/>
      <c r="AX119" s="39"/>
      <c r="AY119" s="39"/>
      <c r="AZ119" s="39"/>
      <c r="BA119" s="39"/>
      <c r="BB119" s="39">
        <v>100</v>
      </c>
      <c r="BC119" s="39"/>
      <c r="BD119" s="39">
        <v>300</v>
      </c>
      <c r="BE119" s="39">
        <v>100</v>
      </c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</row>
    <row r="120" spans="1:77" ht="25.5">
      <c r="A120" s="37">
        <v>801926</v>
      </c>
      <c r="B120" s="38" t="s">
        <v>196</v>
      </c>
      <c r="C120" s="39">
        <f t="shared" si="23"/>
        <v>0</v>
      </c>
      <c r="D120" s="39"/>
      <c r="E120" s="41"/>
      <c r="F120" s="41"/>
      <c r="G120" s="41"/>
      <c r="H120" s="39"/>
      <c r="I120" s="39"/>
      <c r="J120" s="39">
        <f t="shared" ref="J120:J125" si="46">K120+O120</f>
        <v>410</v>
      </c>
      <c r="K120" s="39">
        <v>410</v>
      </c>
      <c r="L120" s="41"/>
      <c r="M120" s="41">
        <v>410</v>
      </c>
      <c r="N120" s="41"/>
      <c r="O120" s="41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>
        <v>50</v>
      </c>
      <c r="AD120" s="39"/>
      <c r="AE120" s="39">
        <f>AF120+AG120+AH120+AI120+AL120</f>
        <v>100</v>
      </c>
      <c r="AF120" s="39">
        <v>100</v>
      </c>
      <c r="AG120" s="39"/>
      <c r="AH120" s="39"/>
      <c r="AI120" s="39"/>
      <c r="AJ120" s="39"/>
      <c r="AK120" s="39"/>
      <c r="AL120" s="39"/>
      <c r="AM120" s="39"/>
      <c r="AN120" s="43"/>
      <c r="AO120" s="43"/>
      <c r="AP120" s="39"/>
      <c r="AQ120" s="43"/>
      <c r="AR120" s="44"/>
      <c r="AS120" s="44"/>
      <c r="AT120" s="44"/>
      <c r="AU120" s="39"/>
      <c r="AV120" s="44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</row>
    <row r="121" spans="1:77">
      <c r="A121" s="37">
        <v>801934</v>
      </c>
      <c r="B121" s="38" t="s">
        <v>197</v>
      </c>
      <c r="C121" s="39">
        <f t="shared" si="23"/>
        <v>0</v>
      </c>
      <c r="D121" s="39"/>
      <c r="E121" s="41"/>
      <c r="F121" s="41"/>
      <c r="G121" s="41"/>
      <c r="H121" s="39"/>
      <c r="I121" s="39"/>
      <c r="J121" s="39">
        <f t="shared" si="46"/>
        <v>110</v>
      </c>
      <c r="K121" s="39">
        <v>110</v>
      </c>
      <c r="L121" s="41"/>
      <c r="M121" s="41">
        <v>110</v>
      </c>
      <c r="N121" s="41"/>
      <c r="O121" s="41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43"/>
      <c r="AO121" s="43"/>
      <c r="AP121" s="39"/>
      <c r="AQ121" s="43"/>
      <c r="AR121" s="44"/>
      <c r="AS121" s="44"/>
      <c r="AT121" s="44"/>
      <c r="AU121" s="39"/>
      <c r="AV121" s="44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</row>
    <row r="122" spans="1:77" ht="25.5">
      <c r="A122" s="37">
        <v>801942</v>
      </c>
      <c r="B122" s="38" t="s">
        <v>198</v>
      </c>
      <c r="C122" s="39">
        <f t="shared" si="23"/>
        <v>1120</v>
      </c>
      <c r="D122" s="39">
        <v>955</v>
      </c>
      <c r="E122" s="41"/>
      <c r="F122" s="41"/>
      <c r="G122" s="41"/>
      <c r="H122" s="39">
        <v>165</v>
      </c>
      <c r="I122" s="39"/>
      <c r="J122" s="39">
        <f t="shared" si="46"/>
        <v>1100</v>
      </c>
      <c r="K122" s="39">
        <v>1100</v>
      </c>
      <c r="L122" s="41"/>
      <c r="M122" s="41"/>
      <c r="N122" s="41"/>
      <c r="O122" s="41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>
        <v>2600</v>
      </c>
      <c r="AD122" s="39"/>
      <c r="AE122" s="39">
        <f>AF122+AG122+AH122+AI122+AL122</f>
        <v>1900</v>
      </c>
      <c r="AF122" s="39">
        <v>1900</v>
      </c>
      <c r="AG122" s="39"/>
      <c r="AH122" s="39"/>
      <c r="AI122" s="39"/>
      <c r="AJ122" s="39"/>
      <c r="AK122" s="39"/>
      <c r="AL122" s="39"/>
      <c r="AM122" s="39"/>
      <c r="AN122" s="43"/>
      <c r="AO122" s="43"/>
      <c r="AP122" s="39"/>
      <c r="AQ122" s="43"/>
      <c r="AR122" s="44"/>
      <c r="AS122" s="44"/>
      <c r="AT122" s="44"/>
      <c r="AU122" s="39"/>
      <c r="AV122" s="44"/>
      <c r="AW122" s="39"/>
      <c r="AX122" s="39"/>
      <c r="AY122" s="39"/>
      <c r="AZ122" s="39"/>
      <c r="BA122" s="39"/>
      <c r="BB122" s="39">
        <v>3000</v>
      </c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</row>
    <row r="123" spans="1:77">
      <c r="A123" s="37">
        <v>801943</v>
      </c>
      <c r="B123" s="38" t="s">
        <v>199</v>
      </c>
      <c r="C123" s="39">
        <f t="shared" si="23"/>
        <v>0</v>
      </c>
      <c r="D123" s="39"/>
      <c r="E123" s="41"/>
      <c r="F123" s="41"/>
      <c r="G123" s="41"/>
      <c r="H123" s="39"/>
      <c r="I123" s="39"/>
      <c r="J123" s="39">
        <f t="shared" si="46"/>
        <v>284</v>
      </c>
      <c r="K123" s="39">
        <v>284</v>
      </c>
      <c r="L123" s="41"/>
      <c r="M123" s="41">
        <v>284</v>
      </c>
      <c r="N123" s="41"/>
      <c r="O123" s="41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43"/>
      <c r="AO123" s="43"/>
      <c r="AP123" s="39"/>
      <c r="AQ123" s="43"/>
      <c r="AR123" s="44"/>
      <c r="AS123" s="44"/>
      <c r="AT123" s="44"/>
      <c r="AU123" s="39"/>
      <c r="AV123" s="44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</row>
    <row r="124" spans="1:77" ht="25.5">
      <c r="A124" s="37">
        <v>801949</v>
      </c>
      <c r="B124" s="38" t="s">
        <v>200</v>
      </c>
      <c r="C124" s="39">
        <f t="shared" si="23"/>
        <v>0</v>
      </c>
      <c r="D124" s="39"/>
      <c r="E124" s="41"/>
      <c r="F124" s="41"/>
      <c r="G124" s="41"/>
      <c r="H124" s="39"/>
      <c r="I124" s="39"/>
      <c r="J124" s="39">
        <f t="shared" si="46"/>
        <v>295</v>
      </c>
      <c r="K124" s="42">
        <f>300-5</f>
        <v>295</v>
      </c>
      <c r="L124" s="41"/>
      <c r="M124" s="41"/>
      <c r="N124" s="41"/>
      <c r="O124" s="41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>
        <v>2470</v>
      </c>
      <c r="AD124" s="39">
        <v>100</v>
      </c>
      <c r="AE124" s="39">
        <f t="shared" ref="AE124:AE136" si="47">AF124+AG124+AH124+AI124+AL124</f>
        <v>990</v>
      </c>
      <c r="AF124" s="39">
        <v>990</v>
      </c>
      <c r="AG124" s="39"/>
      <c r="AH124" s="39"/>
      <c r="AI124" s="39"/>
      <c r="AJ124" s="39"/>
      <c r="AK124" s="39"/>
      <c r="AL124" s="39"/>
      <c r="AM124" s="39"/>
      <c r="AN124" s="43"/>
      <c r="AO124" s="43"/>
      <c r="AP124" s="39"/>
      <c r="AQ124" s="43"/>
      <c r="AR124" s="44"/>
      <c r="AS124" s="44"/>
      <c r="AT124" s="44"/>
      <c r="AU124" s="39"/>
      <c r="AV124" s="44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</row>
    <row r="125" spans="1:77">
      <c r="A125" s="37">
        <v>801951</v>
      </c>
      <c r="B125" s="38" t="s">
        <v>201</v>
      </c>
      <c r="C125" s="39">
        <f t="shared" si="23"/>
        <v>0</v>
      </c>
      <c r="D125" s="39"/>
      <c r="E125" s="41"/>
      <c r="F125" s="41"/>
      <c r="G125" s="41"/>
      <c r="H125" s="39"/>
      <c r="I125" s="39"/>
      <c r="J125" s="39">
        <f t="shared" si="46"/>
        <v>0</v>
      </c>
      <c r="K125" s="39"/>
      <c r="L125" s="41"/>
      <c r="M125" s="41"/>
      <c r="N125" s="41"/>
      <c r="O125" s="41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>
        <v>20</v>
      </c>
      <c r="AD125" s="39">
        <v>640</v>
      </c>
      <c r="AE125" s="39">
        <f t="shared" si="47"/>
        <v>550</v>
      </c>
      <c r="AF125" s="39">
        <v>550</v>
      </c>
      <c r="AG125" s="39"/>
      <c r="AH125" s="39"/>
      <c r="AI125" s="39"/>
      <c r="AJ125" s="39"/>
      <c r="AK125" s="39"/>
      <c r="AL125" s="39"/>
      <c r="AM125" s="39"/>
      <c r="AN125" s="43"/>
      <c r="AO125" s="43"/>
      <c r="AP125" s="39"/>
      <c r="AQ125" s="43"/>
      <c r="AR125" s="44"/>
      <c r="AS125" s="44"/>
      <c r="AT125" s="44"/>
      <c r="AU125" s="39"/>
      <c r="AV125" s="44"/>
      <c r="AW125" s="39"/>
      <c r="AX125" s="39"/>
      <c r="AY125" s="39"/>
      <c r="AZ125" s="39"/>
      <c r="BA125" s="39"/>
      <c r="BB125" s="39"/>
      <c r="BC125" s="39"/>
      <c r="BD125" s="39">
        <v>1000</v>
      </c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</row>
    <row r="126" spans="1:77" ht="25.5">
      <c r="A126" s="37">
        <v>804501</v>
      </c>
      <c r="B126" s="38" t="s">
        <v>202</v>
      </c>
      <c r="C126" s="39">
        <f t="shared" si="23"/>
        <v>0</v>
      </c>
      <c r="D126" s="39"/>
      <c r="E126" s="41"/>
      <c r="F126" s="41"/>
      <c r="G126" s="41"/>
      <c r="H126" s="39"/>
      <c r="I126" s="39"/>
      <c r="J126" s="39"/>
      <c r="K126" s="39"/>
      <c r="L126" s="41"/>
      <c r="M126" s="41"/>
      <c r="N126" s="41"/>
      <c r="O126" s="41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>
        <v>90</v>
      </c>
      <c r="AD126" s="39"/>
      <c r="AE126" s="39">
        <f t="shared" si="47"/>
        <v>770</v>
      </c>
      <c r="AF126" s="39">
        <v>770</v>
      </c>
      <c r="AG126" s="39"/>
      <c r="AH126" s="39"/>
      <c r="AI126" s="39"/>
      <c r="AJ126" s="39"/>
      <c r="AK126" s="39"/>
      <c r="AL126" s="39"/>
      <c r="AM126" s="39"/>
      <c r="AN126" s="43"/>
      <c r="AO126" s="43"/>
      <c r="AP126" s="39"/>
      <c r="AQ126" s="43"/>
      <c r="AR126" s="44"/>
      <c r="AS126" s="44"/>
      <c r="AT126" s="44"/>
      <c r="AU126" s="39"/>
      <c r="AV126" s="44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</row>
    <row r="127" spans="1:77" ht="25.5">
      <c r="A127" s="37">
        <v>804504</v>
      </c>
      <c r="B127" s="38" t="s">
        <v>203</v>
      </c>
      <c r="C127" s="39">
        <f t="shared" si="23"/>
        <v>0</v>
      </c>
      <c r="D127" s="39"/>
      <c r="E127" s="41"/>
      <c r="F127" s="41"/>
      <c r="G127" s="41"/>
      <c r="H127" s="39"/>
      <c r="I127" s="39"/>
      <c r="J127" s="39">
        <f>K127+O127</f>
        <v>350</v>
      </c>
      <c r="K127" s="39">
        <v>350</v>
      </c>
      <c r="L127" s="41"/>
      <c r="M127" s="41"/>
      <c r="N127" s="41"/>
      <c r="O127" s="41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>
        <v>10280</v>
      </c>
      <c r="AD127" s="39">
        <v>50</v>
      </c>
      <c r="AE127" s="39">
        <f t="shared" si="47"/>
        <v>7350</v>
      </c>
      <c r="AF127" s="39">
        <v>7350</v>
      </c>
      <c r="AG127" s="39"/>
      <c r="AH127" s="39"/>
      <c r="AI127" s="39"/>
      <c r="AJ127" s="39"/>
      <c r="AK127" s="39"/>
      <c r="AL127" s="39"/>
      <c r="AM127" s="39"/>
      <c r="AN127" s="43"/>
      <c r="AO127" s="43"/>
      <c r="AP127" s="39"/>
      <c r="AQ127" s="43"/>
      <c r="AR127" s="44"/>
      <c r="AS127" s="44"/>
      <c r="AT127" s="44"/>
      <c r="AU127" s="39"/>
      <c r="AV127" s="44"/>
      <c r="AW127" s="39"/>
      <c r="AX127" s="39"/>
      <c r="AY127" s="39"/>
      <c r="AZ127" s="39"/>
      <c r="BA127" s="39"/>
      <c r="BB127" s="39"/>
      <c r="BC127" s="39"/>
      <c r="BD127" s="39"/>
      <c r="BE127" s="39">
        <v>200</v>
      </c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</row>
    <row r="128" spans="1:77">
      <c r="A128" s="37">
        <v>805304</v>
      </c>
      <c r="B128" s="38" t="s">
        <v>204</v>
      </c>
      <c r="C128" s="39">
        <f t="shared" si="23"/>
        <v>0</v>
      </c>
      <c r="D128" s="39"/>
      <c r="E128" s="41"/>
      <c r="F128" s="41"/>
      <c r="G128" s="41"/>
      <c r="H128" s="39"/>
      <c r="I128" s="39"/>
      <c r="J128" s="39"/>
      <c r="K128" s="39"/>
      <c r="L128" s="41"/>
      <c r="M128" s="41"/>
      <c r="N128" s="41"/>
      <c r="O128" s="41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>
        <v>0</v>
      </c>
      <c r="AD128" s="39">
        <v>0</v>
      </c>
      <c r="AE128" s="39">
        <f t="shared" si="47"/>
        <v>0</v>
      </c>
      <c r="AF128" s="39">
        <v>0</v>
      </c>
      <c r="AG128" s="39"/>
      <c r="AH128" s="39"/>
      <c r="AI128" s="39"/>
      <c r="AJ128" s="39"/>
      <c r="AK128" s="39"/>
      <c r="AL128" s="39"/>
      <c r="AM128" s="39"/>
      <c r="AN128" s="43"/>
      <c r="AO128" s="43"/>
      <c r="AP128" s="39"/>
      <c r="AQ128" s="43"/>
      <c r="AR128" s="44"/>
      <c r="AS128" s="44"/>
      <c r="AT128" s="44"/>
      <c r="AU128" s="39"/>
      <c r="AV128" s="44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</row>
    <row r="129" spans="1:77" ht="25.5">
      <c r="A129" s="37">
        <v>805305</v>
      </c>
      <c r="B129" s="38" t="s">
        <v>205</v>
      </c>
      <c r="C129" s="39">
        <f t="shared" si="23"/>
        <v>0</v>
      </c>
      <c r="D129" s="39"/>
      <c r="E129" s="41"/>
      <c r="F129" s="41"/>
      <c r="G129" s="41"/>
      <c r="H129" s="39"/>
      <c r="I129" s="39"/>
      <c r="J129" s="39"/>
      <c r="K129" s="39"/>
      <c r="L129" s="41"/>
      <c r="M129" s="41"/>
      <c r="N129" s="41"/>
      <c r="O129" s="41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>
        <v>0</v>
      </c>
      <c r="AD129" s="39">
        <v>0</v>
      </c>
      <c r="AE129" s="39">
        <f t="shared" si="47"/>
        <v>0</v>
      </c>
      <c r="AF129" s="39">
        <v>0</v>
      </c>
      <c r="AG129" s="39"/>
      <c r="AH129" s="39"/>
      <c r="AI129" s="39"/>
      <c r="AJ129" s="39"/>
      <c r="AK129" s="39"/>
      <c r="AL129" s="39"/>
      <c r="AM129" s="39"/>
      <c r="AN129" s="43"/>
      <c r="AO129" s="43"/>
      <c r="AP129" s="39"/>
      <c r="AQ129" s="43"/>
      <c r="AR129" s="44"/>
      <c r="AS129" s="44"/>
      <c r="AT129" s="44"/>
      <c r="AU129" s="39"/>
      <c r="AV129" s="44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</row>
    <row r="130" spans="1:77">
      <c r="A130" s="37">
        <v>805307</v>
      </c>
      <c r="B130" s="38" t="s">
        <v>206</v>
      </c>
      <c r="C130" s="39">
        <f t="shared" si="23"/>
        <v>0</v>
      </c>
      <c r="D130" s="39"/>
      <c r="E130" s="41"/>
      <c r="F130" s="41"/>
      <c r="G130" s="41"/>
      <c r="H130" s="39"/>
      <c r="I130" s="39"/>
      <c r="J130" s="39"/>
      <c r="K130" s="39"/>
      <c r="L130" s="41"/>
      <c r="M130" s="41"/>
      <c r="N130" s="41"/>
      <c r="O130" s="41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>
        <v>0</v>
      </c>
      <c r="AD130" s="39">
        <v>0</v>
      </c>
      <c r="AE130" s="39">
        <f t="shared" si="47"/>
        <v>0</v>
      </c>
      <c r="AF130" s="39">
        <v>0</v>
      </c>
      <c r="AG130" s="39"/>
      <c r="AH130" s="39"/>
      <c r="AI130" s="39"/>
      <c r="AJ130" s="39"/>
      <c r="AK130" s="39"/>
      <c r="AL130" s="39"/>
      <c r="AM130" s="39"/>
      <c r="AN130" s="43"/>
      <c r="AO130" s="43"/>
      <c r="AP130" s="39"/>
      <c r="AQ130" s="43"/>
      <c r="AR130" s="44"/>
      <c r="AS130" s="44"/>
      <c r="AT130" s="44"/>
      <c r="AU130" s="39"/>
      <c r="AV130" s="44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</row>
    <row r="131" spans="1:77">
      <c r="A131" s="37">
        <v>805313</v>
      </c>
      <c r="B131" s="38" t="s">
        <v>207</v>
      </c>
      <c r="C131" s="39">
        <f t="shared" si="23"/>
        <v>0</v>
      </c>
      <c r="D131" s="39"/>
      <c r="E131" s="41"/>
      <c r="F131" s="41"/>
      <c r="G131" s="41"/>
      <c r="H131" s="39"/>
      <c r="I131" s="39"/>
      <c r="J131" s="39"/>
      <c r="K131" s="39"/>
      <c r="L131" s="41"/>
      <c r="M131" s="41"/>
      <c r="N131" s="41"/>
      <c r="O131" s="41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>
        <v>0</v>
      </c>
      <c r="AD131" s="39">
        <v>0</v>
      </c>
      <c r="AE131" s="39">
        <f t="shared" si="47"/>
        <v>0</v>
      </c>
      <c r="AF131" s="39">
        <v>0</v>
      </c>
      <c r="AG131" s="39"/>
      <c r="AH131" s="39"/>
      <c r="AI131" s="39"/>
      <c r="AJ131" s="39"/>
      <c r="AK131" s="39"/>
      <c r="AL131" s="39"/>
      <c r="AM131" s="39"/>
      <c r="AN131" s="43"/>
      <c r="AO131" s="43"/>
      <c r="AP131" s="39"/>
      <c r="AQ131" s="43"/>
      <c r="AR131" s="44"/>
      <c r="AS131" s="44"/>
      <c r="AT131" s="44"/>
      <c r="AU131" s="39"/>
      <c r="AV131" s="44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</row>
    <row r="132" spans="1:77">
      <c r="A132" s="37">
        <v>805318</v>
      </c>
      <c r="B132" s="38" t="s">
        <v>208</v>
      </c>
      <c r="C132" s="39">
        <f t="shared" si="23"/>
        <v>0</v>
      </c>
      <c r="D132" s="39"/>
      <c r="E132" s="41"/>
      <c r="F132" s="41"/>
      <c r="G132" s="41"/>
      <c r="H132" s="39"/>
      <c r="I132" s="39"/>
      <c r="J132" s="39"/>
      <c r="K132" s="39"/>
      <c r="L132" s="41"/>
      <c r="M132" s="41"/>
      <c r="N132" s="41"/>
      <c r="O132" s="41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>
        <v>0</v>
      </c>
      <c r="AD132" s="39">
        <v>0</v>
      </c>
      <c r="AE132" s="39">
        <f t="shared" si="47"/>
        <v>0</v>
      </c>
      <c r="AF132" s="39">
        <v>0</v>
      </c>
      <c r="AG132" s="39"/>
      <c r="AH132" s="39"/>
      <c r="AI132" s="39"/>
      <c r="AJ132" s="39"/>
      <c r="AK132" s="39"/>
      <c r="AL132" s="39"/>
      <c r="AM132" s="39"/>
      <c r="AN132" s="43"/>
      <c r="AO132" s="43"/>
      <c r="AP132" s="39"/>
      <c r="AQ132" s="43"/>
      <c r="AR132" s="44"/>
      <c r="AS132" s="44"/>
      <c r="AT132" s="44"/>
      <c r="AU132" s="39"/>
      <c r="AV132" s="44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</row>
    <row r="133" spans="1:77">
      <c r="A133" s="37">
        <v>805333</v>
      </c>
      <c r="B133" s="38" t="s">
        <v>209</v>
      </c>
      <c r="C133" s="39">
        <f t="shared" si="23"/>
        <v>0</v>
      </c>
      <c r="D133" s="39"/>
      <c r="E133" s="41"/>
      <c r="F133" s="41"/>
      <c r="G133" s="41"/>
      <c r="H133" s="39"/>
      <c r="I133" s="39"/>
      <c r="J133" s="39"/>
      <c r="K133" s="39"/>
      <c r="L133" s="41"/>
      <c r="M133" s="41"/>
      <c r="N133" s="41"/>
      <c r="O133" s="41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>
        <v>0</v>
      </c>
      <c r="AD133" s="39">
        <v>0</v>
      </c>
      <c r="AE133" s="39">
        <f t="shared" si="47"/>
        <v>0</v>
      </c>
      <c r="AF133" s="39">
        <v>0</v>
      </c>
      <c r="AG133" s="39"/>
      <c r="AH133" s="39"/>
      <c r="AI133" s="39"/>
      <c r="AJ133" s="39"/>
      <c r="AK133" s="39"/>
      <c r="AL133" s="39"/>
      <c r="AM133" s="39"/>
      <c r="AN133" s="43"/>
      <c r="AO133" s="43"/>
      <c r="AP133" s="39"/>
      <c r="AQ133" s="43"/>
      <c r="AR133" s="44"/>
      <c r="AS133" s="44"/>
      <c r="AT133" s="44"/>
      <c r="AU133" s="39"/>
      <c r="AV133" s="44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</row>
    <row r="134" spans="1:77" ht="25.5">
      <c r="A134" s="37">
        <v>805342</v>
      </c>
      <c r="B134" s="38" t="s">
        <v>210</v>
      </c>
      <c r="C134" s="39">
        <f t="shared" si="23"/>
        <v>0</v>
      </c>
      <c r="D134" s="39"/>
      <c r="E134" s="41"/>
      <c r="F134" s="41"/>
      <c r="G134" s="41"/>
      <c r="H134" s="39"/>
      <c r="I134" s="39"/>
      <c r="J134" s="39"/>
      <c r="K134" s="39"/>
      <c r="L134" s="41"/>
      <c r="M134" s="41"/>
      <c r="N134" s="41"/>
      <c r="O134" s="41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>
        <v>0</v>
      </c>
      <c r="AD134" s="39">
        <v>0</v>
      </c>
      <c r="AE134" s="39">
        <f t="shared" si="47"/>
        <v>0</v>
      </c>
      <c r="AF134" s="39">
        <v>0</v>
      </c>
      <c r="AG134" s="39"/>
      <c r="AH134" s="39"/>
      <c r="AI134" s="39"/>
      <c r="AJ134" s="39"/>
      <c r="AK134" s="39"/>
      <c r="AL134" s="39"/>
      <c r="AM134" s="39"/>
      <c r="AN134" s="43"/>
      <c r="AO134" s="43"/>
      <c r="AP134" s="39"/>
      <c r="AQ134" s="43"/>
      <c r="AR134" s="44"/>
      <c r="AS134" s="44"/>
      <c r="AT134" s="44"/>
      <c r="AU134" s="39"/>
      <c r="AV134" s="44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</row>
    <row r="135" spans="1:77" ht="25.5">
      <c r="A135" s="37">
        <v>805343</v>
      </c>
      <c r="B135" s="38" t="s">
        <v>211</v>
      </c>
      <c r="C135" s="39">
        <f t="shared" si="23"/>
        <v>0</v>
      </c>
      <c r="D135" s="39"/>
      <c r="E135" s="41"/>
      <c r="F135" s="41"/>
      <c r="G135" s="41"/>
      <c r="H135" s="39"/>
      <c r="I135" s="39"/>
      <c r="J135" s="39"/>
      <c r="K135" s="39"/>
      <c r="L135" s="41"/>
      <c r="M135" s="41"/>
      <c r="N135" s="41"/>
      <c r="O135" s="41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>
        <v>0</v>
      </c>
      <c r="AD135" s="39">
        <v>0</v>
      </c>
      <c r="AE135" s="39">
        <f t="shared" si="47"/>
        <v>0</v>
      </c>
      <c r="AF135" s="39">
        <v>0</v>
      </c>
      <c r="AG135" s="39"/>
      <c r="AH135" s="39"/>
      <c r="AI135" s="39"/>
      <c r="AJ135" s="39"/>
      <c r="AK135" s="39"/>
      <c r="AL135" s="39"/>
      <c r="AM135" s="39"/>
      <c r="AN135" s="43"/>
      <c r="AO135" s="43"/>
      <c r="AP135" s="39"/>
      <c r="AQ135" s="43"/>
      <c r="AR135" s="44"/>
      <c r="AS135" s="44"/>
      <c r="AT135" s="44"/>
      <c r="AU135" s="39"/>
      <c r="AV135" s="44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</row>
    <row r="136" spans="1:77">
      <c r="A136" s="37">
        <v>805902</v>
      </c>
      <c r="B136" s="38" t="s">
        <v>212</v>
      </c>
      <c r="C136" s="39">
        <f t="shared" si="23"/>
        <v>0</v>
      </c>
      <c r="D136" s="39"/>
      <c r="E136" s="41"/>
      <c r="F136" s="41"/>
      <c r="G136" s="41"/>
      <c r="H136" s="39"/>
      <c r="I136" s="39"/>
      <c r="J136" s="39">
        <f>K136+O136</f>
        <v>0</v>
      </c>
      <c r="K136" s="39">
        <v>0</v>
      </c>
      <c r="L136" s="41"/>
      <c r="M136" s="41"/>
      <c r="N136" s="41"/>
      <c r="O136" s="41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>
        <v>0</v>
      </c>
      <c r="AD136" s="39">
        <v>0</v>
      </c>
      <c r="AE136" s="39">
        <f t="shared" si="47"/>
        <v>0</v>
      </c>
      <c r="AF136" s="39">
        <v>0</v>
      </c>
      <c r="AG136" s="39"/>
      <c r="AH136" s="39"/>
      <c r="AI136" s="39"/>
      <c r="AJ136" s="39"/>
      <c r="AK136" s="39"/>
      <c r="AL136" s="39"/>
      <c r="AM136" s="39"/>
      <c r="AN136" s="43"/>
      <c r="AO136" s="43"/>
      <c r="AP136" s="39"/>
      <c r="AQ136" s="43"/>
      <c r="AR136" s="44"/>
      <c r="AS136" s="44"/>
      <c r="AT136" s="44"/>
      <c r="AU136" s="39"/>
      <c r="AV136" s="44"/>
      <c r="AW136" s="39"/>
      <c r="AX136" s="39"/>
      <c r="AY136" s="39"/>
      <c r="AZ136" s="39"/>
      <c r="BA136" s="39"/>
      <c r="BB136" s="39"/>
      <c r="BC136" s="39"/>
      <c r="BD136" s="39">
        <v>0</v>
      </c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</row>
    <row r="137" spans="1:77">
      <c r="A137" s="37">
        <v>805903</v>
      </c>
      <c r="B137" s="38" t="s">
        <v>213</v>
      </c>
      <c r="C137" s="39">
        <f t="shared" si="23"/>
        <v>0</v>
      </c>
      <c r="D137" s="39"/>
      <c r="E137" s="41"/>
      <c r="F137" s="41"/>
      <c r="G137" s="41"/>
      <c r="H137" s="39"/>
      <c r="I137" s="39"/>
      <c r="J137" s="39"/>
      <c r="K137" s="39"/>
      <c r="L137" s="41"/>
      <c r="M137" s="41"/>
      <c r="N137" s="41"/>
      <c r="O137" s="41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43"/>
      <c r="AO137" s="43"/>
      <c r="AP137" s="39"/>
      <c r="AQ137" s="43"/>
      <c r="AR137" s="44"/>
      <c r="AS137" s="44"/>
      <c r="AT137" s="44"/>
      <c r="AU137" s="39"/>
      <c r="AV137" s="44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>
        <v>0</v>
      </c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</row>
    <row r="138" spans="1:77">
      <c r="A138" s="37">
        <v>805904</v>
      </c>
      <c r="B138" s="38" t="s">
        <v>214</v>
      </c>
      <c r="C138" s="39">
        <f t="shared" ref="C138:C172" si="48">D138+I138+H138</f>
        <v>0</v>
      </c>
      <c r="D138" s="39"/>
      <c r="E138" s="41"/>
      <c r="F138" s="41"/>
      <c r="G138" s="41"/>
      <c r="H138" s="39"/>
      <c r="I138" s="39"/>
      <c r="J138" s="39"/>
      <c r="K138" s="39"/>
      <c r="L138" s="41"/>
      <c r="M138" s="41"/>
      <c r="N138" s="41"/>
      <c r="O138" s="41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>
        <v>0</v>
      </c>
      <c r="AD138" s="39">
        <v>0</v>
      </c>
      <c r="AE138" s="39">
        <f>AF138+AG138+AH138+AI138+AL138</f>
        <v>0</v>
      </c>
      <c r="AF138" s="39">
        <v>0</v>
      </c>
      <c r="AG138" s="39"/>
      <c r="AH138" s="39"/>
      <c r="AI138" s="39"/>
      <c r="AJ138" s="39"/>
      <c r="AK138" s="39"/>
      <c r="AL138" s="39"/>
      <c r="AM138" s="39"/>
      <c r="AN138" s="43"/>
      <c r="AO138" s="43"/>
      <c r="AP138" s="39"/>
      <c r="AQ138" s="43"/>
      <c r="AR138" s="44"/>
      <c r="AS138" s="44"/>
      <c r="AT138" s="44"/>
      <c r="AU138" s="39"/>
      <c r="AV138" s="44"/>
      <c r="AW138" s="39"/>
      <c r="AX138" s="39"/>
      <c r="AY138" s="39"/>
      <c r="AZ138" s="39"/>
      <c r="BA138" s="39"/>
      <c r="BB138" s="39">
        <v>0</v>
      </c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</row>
    <row r="139" spans="1:77" ht="25.5">
      <c r="A139" s="37">
        <v>805905</v>
      </c>
      <c r="B139" s="38" t="s">
        <v>215</v>
      </c>
      <c r="C139" s="39">
        <f t="shared" si="48"/>
        <v>0</v>
      </c>
      <c r="D139" s="39"/>
      <c r="E139" s="41"/>
      <c r="F139" s="41"/>
      <c r="G139" s="41"/>
      <c r="H139" s="39"/>
      <c r="I139" s="39"/>
      <c r="J139" s="39">
        <f>K139+O139</f>
        <v>0</v>
      </c>
      <c r="K139" s="39"/>
      <c r="L139" s="41"/>
      <c r="M139" s="41"/>
      <c r="N139" s="41"/>
      <c r="O139" s="41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>
        <f>AF139+AG139+AH139+AI139+AL139</f>
        <v>3360</v>
      </c>
      <c r="AF139" s="39">
        <v>3120</v>
      </c>
      <c r="AG139" s="39"/>
      <c r="AH139" s="39"/>
      <c r="AI139" s="39">
        <f>AK139+AJ139</f>
        <v>240</v>
      </c>
      <c r="AJ139" s="39">
        <v>240</v>
      </c>
      <c r="AK139" s="39"/>
      <c r="AL139" s="39"/>
      <c r="AM139" s="39"/>
      <c r="AN139" s="43"/>
      <c r="AO139" s="43"/>
      <c r="AP139" s="39"/>
      <c r="AQ139" s="43"/>
      <c r="AR139" s="44"/>
      <c r="AS139" s="44"/>
      <c r="AT139" s="44"/>
      <c r="AU139" s="39"/>
      <c r="AV139" s="44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</row>
    <row r="140" spans="1:77" ht="25.5">
      <c r="A140" s="37">
        <v>805906</v>
      </c>
      <c r="B140" s="38" t="s">
        <v>216</v>
      </c>
      <c r="C140" s="39">
        <f t="shared" si="48"/>
        <v>0</v>
      </c>
      <c r="D140" s="39"/>
      <c r="E140" s="41"/>
      <c r="F140" s="41"/>
      <c r="G140" s="41"/>
      <c r="H140" s="39"/>
      <c r="I140" s="39"/>
      <c r="J140" s="39"/>
      <c r="K140" s="39"/>
      <c r="L140" s="41"/>
      <c r="M140" s="41"/>
      <c r="N140" s="41"/>
      <c r="O140" s="41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43"/>
      <c r="AO140" s="43"/>
      <c r="AP140" s="39"/>
      <c r="AQ140" s="43"/>
      <c r="AR140" s="44"/>
      <c r="AS140" s="44"/>
      <c r="AT140" s="44"/>
      <c r="AU140" s="39"/>
      <c r="AV140" s="44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>
        <v>0</v>
      </c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</row>
    <row r="141" spans="1:77">
      <c r="A141" s="37">
        <v>805911</v>
      </c>
      <c r="B141" s="38" t="s">
        <v>217</v>
      </c>
      <c r="C141" s="39">
        <f t="shared" si="48"/>
        <v>0</v>
      </c>
      <c r="D141" s="39"/>
      <c r="E141" s="41"/>
      <c r="F141" s="41"/>
      <c r="G141" s="41"/>
      <c r="H141" s="39"/>
      <c r="I141" s="39"/>
      <c r="J141" s="39"/>
      <c r="K141" s="39"/>
      <c r="L141" s="41"/>
      <c r="M141" s="41"/>
      <c r="N141" s="41"/>
      <c r="O141" s="41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>
        <v>4290</v>
      </c>
      <c r="AD141" s="39"/>
      <c r="AE141" s="39">
        <f>AF141+AG141+AH141+AI141+AL141</f>
        <v>2100</v>
      </c>
      <c r="AF141" s="39">
        <v>2100</v>
      </c>
      <c r="AG141" s="39"/>
      <c r="AH141" s="39"/>
      <c r="AI141" s="39"/>
      <c r="AJ141" s="39"/>
      <c r="AK141" s="39"/>
      <c r="AL141" s="39"/>
      <c r="AM141" s="39"/>
      <c r="AN141" s="43"/>
      <c r="AO141" s="43"/>
      <c r="AP141" s="39"/>
      <c r="AQ141" s="43"/>
      <c r="AR141" s="44"/>
      <c r="AS141" s="44"/>
      <c r="AT141" s="44"/>
      <c r="AU141" s="39"/>
      <c r="AV141" s="44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</row>
    <row r="142" spans="1:77">
      <c r="A142" s="37">
        <v>805912</v>
      </c>
      <c r="B142" s="38" t="s">
        <v>218</v>
      </c>
      <c r="C142" s="39">
        <f t="shared" si="48"/>
        <v>0</v>
      </c>
      <c r="D142" s="39"/>
      <c r="E142" s="41"/>
      <c r="F142" s="41"/>
      <c r="G142" s="41"/>
      <c r="H142" s="39"/>
      <c r="I142" s="39"/>
      <c r="J142" s="39"/>
      <c r="K142" s="39"/>
      <c r="L142" s="41"/>
      <c r="M142" s="41"/>
      <c r="N142" s="41"/>
      <c r="O142" s="41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>
        <v>0</v>
      </c>
      <c r="AD142" s="39">
        <v>0</v>
      </c>
      <c r="AE142" s="39">
        <f>AF142+AG142+AH142+AI142+AL142</f>
        <v>0</v>
      </c>
      <c r="AF142" s="39">
        <v>0</v>
      </c>
      <c r="AG142" s="39"/>
      <c r="AH142" s="39"/>
      <c r="AI142" s="39"/>
      <c r="AJ142" s="39"/>
      <c r="AK142" s="39"/>
      <c r="AL142" s="39"/>
      <c r="AM142" s="39"/>
      <c r="AN142" s="43"/>
      <c r="AO142" s="43"/>
      <c r="AP142" s="39"/>
      <c r="AQ142" s="43"/>
      <c r="AR142" s="44"/>
      <c r="AS142" s="44"/>
      <c r="AT142" s="44"/>
      <c r="AU142" s="39"/>
      <c r="AV142" s="44"/>
      <c r="AW142" s="39"/>
      <c r="AX142" s="39"/>
      <c r="AY142" s="39"/>
      <c r="AZ142" s="39"/>
      <c r="BA142" s="39"/>
      <c r="BB142" s="39"/>
      <c r="BC142" s="39"/>
      <c r="BD142" s="39">
        <v>0</v>
      </c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</row>
    <row r="143" spans="1:77" ht="25.5">
      <c r="A143" s="37">
        <v>805913</v>
      </c>
      <c r="B143" s="38" t="s">
        <v>219</v>
      </c>
      <c r="C143" s="39">
        <f t="shared" si="48"/>
        <v>0</v>
      </c>
      <c r="D143" s="39"/>
      <c r="E143" s="41"/>
      <c r="F143" s="41"/>
      <c r="G143" s="41"/>
      <c r="H143" s="39"/>
      <c r="I143" s="39"/>
      <c r="J143" s="39"/>
      <c r="K143" s="39"/>
      <c r="L143" s="41"/>
      <c r="M143" s="41"/>
      <c r="N143" s="41"/>
      <c r="O143" s="41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43"/>
      <c r="AO143" s="43"/>
      <c r="AP143" s="39"/>
      <c r="AQ143" s="43"/>
      <c r="AR143" s="44"/>
      <c r="AS143" s="44"/>
      <c r="AT143" s="44"/>
      <c r="AU143" s="39"/>
      <c r="AV143" s="44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>
        <v>0</v>
      </c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</row>
    <row r="144" spans="1:77" ht="25.5">
      <c r="A144" s="37">
        <v>805914</v>
      </c>
      <c r="B144" s="38" t="s">
        <v>220</v>
      </c>
      <c r="C144" s="39">
        <f t="shared" si="48"/>
        <v>0</v>
      </c>
      <c r="D144" s="39"/>
      <c r="E144" s="41"/>
      <c r="F144" s="41"/>
      <c r="G144" s="41"/>
      <c r="H144" s="39"/>
      <c r="I144" s="39"/>
      <c r="J144" s="39"/>
      <c r="K144" s="39"/>
      <c r="L144" s="41"/>
      <c r="M144" s="41"/>
      <c r="N144" s="41"/>
      <c r="O144" s="41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>
        <v>0</v>
      </c>
      <c r="AD144" s="39">
        <v>0</v>
      </c>
      <c r="AE144" s="39">
        <f>AF144+AG144+AH144+AI144+AL144</f>
        <v>0</v>
      </c>
      <c r="AF144" s="39">
        <v>0</v>
      </c>
      <c r="AG144" s="39"/>
      <c r="AH144" s="39"/>
      <c r="AI144" s="39"/>
      <c r="AJ144" s="39"/>
      <c r="AK144" s="39"/>
      <c r="AL144" s="39"/>
      <c r="AM144" s="39"/>
      <c r="AN144" s="43"/>
      <c r="AO144" s="43"/>
      <c r="AP144" s="39"/>
      <c r="AQ144" s="43"/>
      <c r="AR144" s="44"/>
      <c r="AS144" s="44"/>
      <c r="AT144" s="44"/>
      <c r="AU144" s="39"/>
      <c r="AV144" s="44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</row>
    <row r="145" spans="1:77" ht="38.25">
      <c r="A145" s="37">
        <v>805915</v>
      </c>
      <c r="B145" s="38" t="s">
        <v>221</v>
      </c>
      <c r="C145" s="39">
        <f t="shared" si="48"/>
        <v>0</v>
      </c>
      <c r="D145" s="39"/>
      <c r="E145" s="41"/>
      <c r="F145" s="41"/>
      <c r="G145" s="41"/>
      <c r="H145" s="39"/>
      <c r="I145" s="39"/>
      <c r="J145" s="39"/>
      <c r="K145" s="39"/>
      <c r="L145" s="41"/>
      <c r="M145" s="41"/>
      <c r="N145" s="41"/>
      <c r="O145" s="41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43"/>
      <c r="AO145" s="43"/>
      <c r="AP145" s="39"/>
      <c r="AQ145" s="43"/>
      <c r="AR145" s="44"/>
      <c r="AS145" s="44"/>
      <c r="AT145" s="44"/>
      <c r="AU145" s="39"/>
      <c r="AV145" s="44"/>
      <c r="AW145" s="39"/>
      <c r="AX145" s="39"/>
      <c r="AY145" s="39"/>
      <c r="AZ145" s="39"/>
      <c r="BA145" s="39"/>
      <c r="BB145" s="39">
        <v>1920</v>
      </c>
      <c r="BC145" s="39">
        <v>980</v>
      </c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</row>
    <row r="146" spans="1:77">
      <c r="A146" s="37">
        <v>805916</v>
      </c>
      <c r="B146" s="38" t="s">
        <v>222</v>
      </c>
      <c r="C146" s="39">
        <f t="shared" si="48"/>
        <v>0</v>
      </c>
      <c r="D146" s="39"/>
      <c r="E146" s="41"/>
      <c r="F146" s="41"/>
      <c r="G146" s="41"/>
      <c r="H146" s="39"/>
      <c r="I146" s="39"/>
      <c r="J146" s="39"/>
      <c r="K146" s="39"/>
      <c r="L146" s="41"/>
      <c r="M146" s="41"/>
      <c r="N146" s="41"/>
      <c r="O146" s="41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43"/>
      <c r="AO146" s="43"/>
      <c r="AP146" s="39"/>
      <c r="AQ146" s="43"/>
      <c r="AR146" s="44"/>
      <c r="AS146" s="44"/>
      <c r="AT146" s="44"/>
      <c r="AU146" s="39"/>
      <c r="AV146" s="44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>
        <v>0</v>
      </c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</row>
    <row r="147" spans="1:77" ht="25.5">
      <c r="A147" s="37">
        <v>805929</v>
      </c>
      <c r="B147" s="38" t="s">
        <v>223</v>
      </c>
      <c r="C147" s="39">
        <f t="shared" si="48"/>
        <v>0</v>
      </c>
      <c r="D147" s="39"/>
      <c r="E147" s="41"/>
      <c r="F147" s="41"/>
      <c r="G147" s="41"/>
      <c r="H147" s="39"/>
      <c r="I147" s="39"/>
      <c r="J147" s="39">
        <f>K147+O147</f>
        <v>0</v>
      </c>
      <c r="K147" s="39">
        <v>0</v>
      </c>
      <c r="L147" s="41"/>
      <c r="M147" s="41"/>
      <c r="N147" s="41"/>
      <c r="O147" s="41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>
        <v>0</v>
      </c>
      <c r="AD147" s="39">
        <v>0</v>
      </c>
      <c r="AE147" s="39">
        <f>AF147+AG147+AH147+AI147+AL147</f>
        <v>0</v>
      </c>
      <c r="AF147" s="39">
        <v>0</v>
      </c>
      <c r="AG147" s="39"/>
      <c r="AH147" s="39"/>
      <c r="AI147" s="39"/>
      <c r="AJ147" s="39"/>
      <c r="AK147" s="39"/>
      <c r="AL147" s="39"/>
      <c r="AM147" s="39"/>
      <c r="AN147" s="43"/>
      <c r="AO147" s="43"/>
      <c r="AP147" s="39"/>
      <c r="AQ147" s="43"/>
      <c r="AR147" s="44"/>
      <c r="AS147" s="44"/>
      <c r="AT147" s="44"/>
      <c r="AU147" s="39"/>
      <c r="AV147" s="44"/>
      <c r="AW147" s="39"/>
      <c r="AX147" s="39"/>
      <c r="AY147" s="39"/>
      <c r="AZ147" s="39"/>
      <c r="BA147" s="39"/>
      <c r="BB147" s="39"/>
      <c r="BC147" s="39"/>
      <c r="BD147" s="39">
        <v>0</v>
      </c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</row>
    <row r="148" spans="1:77" ht="25.5">
      <c r="A148" s="37">
        <v>805934</v>
      </c>
      <c r="B148" s="38" t="s">
        <v>224</v>
      </c>
      <c r="C148" s="39">
        <f t="shared" si="48"/>
        <v>0</v>
      </c>
      <c r="D148" s="39"/>
      <c r="E148" s="41"/>
      <c r="F148" s="41"/>
      <c r="G148" s="41"/>
      <c r="H148" s="39"/>
      <c r="I148" s="39"/>
      <c r="J148" s="39">
        <f>K148+O148</f>
        <v>340</v>
      </c>
      <c r="K148" s="39">
        <v>340</v>
      </c>
      <c r="L148" s="41"/>
      <c r="M148" s="41"/>
      <c r="N148" s="41"/>
      <c r="O148" s="41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>
        <v>650</v>
      </c>
      <c r="AD148" s="39"/>
      <c r="AE148" s="39">
        <f>AF148+AG148+AH148+AI148+AL148</f>
        <v>2100</v>
      </c>
      <c r="AF148" s="39"/>
      <c r="AG148" s="39"/>
      <c r="AH148" s="39"/>
      <c r="AI148" s="39">
        <f>AK148+AJ148</f>
        <v>2100</v>
      </c>
      <c r="AJ148" s="39">
        <v>2040</v>
      </c>
      <c r="AK148" s="39">
        <v>60</v>
      </c>
      <c r="AL148" s="39"/>
      <c r="AM148" s="39"/>
      <c r="AN148" s="43"/>
      <c r="AO148" s="43"/>
      <c r="AP148" s="39"/>
      <c r="AQ148" s="43"/>
      <c r="AR148" s="44"/>
      <c r="AS148" s="44"/>
      <c r="AT148" s="44"/>
      <c r="AU148" s="39"/>
      <c r="AV148" s="44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</row>
    <row r="149" spans="1:77" ht="25.5">
      <c r="A149" s="37">
        <v>805938</v>
      </c>
      <c r="B149" s="38" t="s">
        <v>225</v>
      </c>
      <c r="C149" s="39">
        <f t="shared" si="48"/>
        <v>0</v>
      </c>
      <c r="D149" s="39"/>
      <c r="E149" s="41"/>
      <c r="F149" s="41"/>
      <c r="G149" s="41"/>
      <c r="H149" s="39"/>
      <c r="I149" s="39"/>
      <c r="J149" s="39">
        <f>K149+O149</f>
        <v>0</v>
      </c>
      <c r="K149" s="39">
        <v>0</v>
      </c>
      <c r="L149" s="41"/>
      <c r="M149" s="41"/>
      <c r="N149" s="41"/>
      <c r="O149" s="41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>
        <v>0</v>
      </c>
      <c r="AD149" s="39">
        <v>0</v>
      </c>
      <c r="AE149" s="39">
        <f>AF149+AG149+AH149+AI149+AL149</f>
        <v>0</v>
      </c>
      <c r="AF149" s="39">
        <v>0</v>
      </c>
      <c r="AG149" s="39"/>
      <c r="AH149" s="39"/>
      <c r="AI149" s="39"/>
      <c r="AJ149" s="39"/>
      <c r="AK149" s="39"/>
      <c r="AL149" s="39"/>
      <c r="AM149" s="39"/>
      <c r="AN149" s="43"/>
      <c r="AO149" s="43"/>
      <c r="AP149" s="39"/>
      <c r="AQ149" s="43"/>
      <c r="AR149" s="44"/>
      <c r="AS149" s="44"/>
      <c r="AT149" s="44"/>
      <c r="AU149" s="39"/>
      <c r="AV149" s="44"/>
      <c r="AW149" s="39"/>
      <c r="AX149" s="39"/>
      <c r="AY149" s="39"/>
      <c r="AZ149" s="39"/>
      <c r="BA149" s="39"/>
      <c r="BB149" s="39"/>
      <c r="BC149" s="39"/>
      <c r="BD149" s="39">
        <v>0</v>
      </c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</row>
    <row r="150" spans="1:77" ht="25.5">
      <c r="A150" s="37">
        <v>805950</v>
      </c>
      <c r="B150" s="38" t="s">
        <v>226</v>
      </c>
      <c r="C150" s="39">
        <f t="shared" si="48"/>
        <v>0</v>
      </c>
      <c r="D150" s="39"/>
      <c r="E150" s="41"/>
      <c r="F150" s="41"/>
      <c r="G150" s="41"/>
      <c r="H150" s="39"/>
      <c r="I150" s="39"/>
      <c r="J150" s="39">
        <f>K150+O150</f>
        <v>1300</v>
      </c>
      <c r="K150" s="39">
        <v>1300</v>
      </c>
      <c r="L150" s="41"/>
      <c r="M150" s="41"/>
      <c r="N150" s="41"/>
      <c r="O150" s="41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>
        <f>AF150+AG150+AH150+AI150+AL150</f>
        <v>600</v>
      </c>
      <c r="AF150" s="39">
        <v>600</v>
      </c>
      <c r="AG150" s="39"/>
      <c r="AH150" s="39"/>
      <c r="AI150" s="39"/>
      <c r="AJ150" s="39"/>
      <c r="AK150" s="39"/>
      <c r="AL150" s="39"/>
      <c r="AM150" s="39"/>
      <c r="AN150" s="43"/>
      <c r="AO150" s="43"/>
      <c r="AP150" s="39"/>
      <c r="AQ150" s="43"/>
      <c r="AR150" s="44"/>
      <c r="AS150" s="44"/>
      <c r="AT150" s="44"/>
      <c r="AU150" s="39"/>
      <c r="AV150" s="44"/>
      <c r="AW150" s="39"/>
      <c r="AX150" s="39"/>
      <c r="AY150" s="39"/>
      <c r="AZ150" s="39"/>
      <c r="BA150" s="39"/>
      <c r="BB150" s="39"/>
      <c r="BC150" s="39">
        <v>1600</v>
      </c>
      <c r="BD150" s="39"/>
      <c r="BE150" s="39">
        <v>200</v>
      </c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</row>
    <row r="151" spans="1:77" ht="25.5">
      <c r="A151" s="37">
        <v>805953</v>
      </c>
      <c r="B151" s="38" t="s">
        <v>227</v>
      </c>
      <c r="C151" s="39">
        <f t="shared" si="48"/>
        <v>0</v>
      </c>
      <c r="D151" s="39"/>
      <c r="E151" s="41"/>
      <c r="F151" s="41"/>
      <c r="G151" s="41"/>
      <c r="H151" s="39"/>
      <c r="I151" s="39"/>
      <c r="J151" s="39">
        <f>K151+O151</f>
        <v>100</v>
      </c>
      <c r="K151" s="39">
        <v>100</v>
      </c>
      <c r="L151" s="41"/>
      <c r="M151" s="41"/>
      <c r="N151" s="41"/>
      <c r="O151" s="41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>
        <f>AF151+AG151+AH151+AI151+AL151</f>
        <v>1200</v>
      </c>
      <c r="AF151" s="39"/>
      <c r="AG151" s="39"/>
      <c r="AH151" s="39"/>
      <c r="AI151" s="39">
        <f>AK151+AJ151</f>
        <v>1200</v>
      </c>
      <c r="AJ151" s="39">
        <v>1200</v>
      </c>
      <c r="AK151" s="39"/>
      <c r="AL151" s="39"/>
      <c r="AM151" s="39"/>
      <c r="AN151" s="43"/>
      <c r="AO151" s="43"/>
      <c r="AP151" s="39"/>
      <c r="AQ151" s="43"/>
      <c r="AR151" s="44"/>
      <c r="AS151" s="44"/>
      <c r="AT151" s="44"/>
      <c r="AU151" s="39"/>
      <c r="AV151" s="44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</row>
    <row r="152" spans="1:77">
      <c r="A152" s="37">
        <v>805955</v>
      </c>
      <c r="B152" s="38" t="s">
        <v>228</v>
      </c>
      <c r="C152" s="39">
        <f t="shared" si="48"/>
        <v>0</v>
      </c>
      <c r="D152" s="39"/>
      <c r="E152" s="41"/>
      <c r="F152" s="41"/>
      <c r="G152" s="41"/>
      <c r="H152" s="39"/>
      <c r="I152" s="39"/>
      <c r="J152" s="39"/>
      <c r="K152" s="39"/>
      <c r="L152" s="41"/>
      <c r="M152" s="41"/>
      <c r="N152" s="41"/>
      <c r="O152" s="41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43"/>
      <c r="AO152" s="43"/>
      <c r="AP152" s="39"/>
      <c r="AQ152" s="43"/>
      <c r="AR152" s="44"/>
      <c r="AS152" s="44"/>
      <c r="AT152" s="44"/>
      <c r="AU152" s="39"/>
      <c r="AV152" s="44"/>
      <c r="AW152" s="39"/>
      <c r="AX152" s="39"/>
      <c r="AY152" s="39"/>
      <c r="AZ152" s="39"/>
      <c r="BA152" s="39"/>
      <c r="BB152" s="39"/>
      <c r="BC152" s="39">
        <v>980</v>
      </c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</row>
    <row r="153" spans="1:77" ht="25.5">
      <c r="A153" s="37">
        <v>805956</v>
      </c>
      <c r="B153" s="38" t="s">
        <v>229</v>
      </c>
      <c r="C153" s="39">
        <f t="shared" si="48"/>
        <v>0</v>
      </c>
      <c r="D153" s="39"/>
      <c r="E153" s="41"/>
      <c r="F153" s="41"/>
      <c r="G153" s="41"/>
      <c r="H153" s="39"/>
      <c r="I153" s="39"/>
      <c r="J153" s="39"/>
      <c r="K153" s="39"/>
      <c r="L153" s="41"/>
      <c r="M153" s="41"/>
      <c r="N153" s="41"/>
      <c r="O153" s="41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43"/>
      <c r="AO153" s="43"/>
      <c r="AP153" s="39"/>
      <c r="AQ153" s="43"/>
      <c r="AR153" s="44"/>
      <c r="AS153" s="44"/>
      <c r="AT153" s="44"/>
      <c r="AU153" s="39"/>
      <c r="AV153" s="44"/>
      <c r="AW153" s="39"/>
      <c r="AX153" s="39"/>
      <c r="AY153" s="39"/>
      <c r="AZ153" s="39"/>
      <c r="BA153" s="39"/>
      <c r="BB153" s="39">
        <v>0</v>
      </c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</row>
    <row r="154" spans="1:77" ht="25.5">
      <c r="A154" s="37">
        <v>805957</v>
      </c>
      <c r="B154" s="38" t="s">
        <v>230</v>
      </c>
      <c r="C154" s="39">
        <f t="shared" si="48"/>
        <v>0</v>
      </c>
      <c r="D154" s="39"/>
      <c r="E154" s="41"/>
      <c r="F154" s="41"/>
      <c r="G154" s="41"/>
      <c r="H154" s="39"/>
      <c r="I154" s="39"/>
      <c r="J154" s="39"/>
      <c r="K154" s="39"/>
      <c r="L154" s="41"/>
      <c r="M154" s="41"/>
      <c r="N154" s="41"/>
      <c r="O154" s="41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43"/>
      <c r="AO154" s="43"/>
      <c r="AP154" s="39"/>
      <c r="AQ154" s="43"/>
      <c r="AR154" s="44"/>
      <c r="AS154" s="44"/>
      <c r="AT154" s="44"/>
      <c r="AU154" s="39"/>
      <c r="AV154" s="44"/>
      <c r="AW154" s="39"/>
      <c r="AX154" s="39"/>
      <c r="AY154" s="39"/>
      <c r="AZ154" s="39"/>
      <c r="BA154" s="39"/>
      <c r="BB154" s="39">
        <f>1920-400</f>
        <v>1520</v>
      </c>
      <c r="BC154" s="39">
        <f>980-45</f>
        <v>935</v>
      </c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</row>
    <row r="155" spans="1:77" ht="25.5">
      <c r="A155" s="37">
        <v>805960</v>
      </c>
      <c r="B155" s="38" t="s">
        <v>231</v>
      </c>
      <c r="C155" s="39">
        <f t="shared" si="48"/>
        <v>0</v>
      </c>
      <c r="D155" s="39"/>
      <c r="E155" s="41"/>
      <c r="F155" s="41"/>
      <c r="G155" s="41"/>
      <c r="H155" s="39"/>
      <c r="I155" s="39"/>
      <c r="J155" s="39">
        <f>K155+O155</f>
        <v>0</v>
      </c>
      <c r="K155" s="39">
        <v>0</v>
      </c>
      <c r="L155" s="41"/>
      <c r="M155" s="41"/>
      <c r="N155" s="41"/>
      <c r="O155" s="41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>
        <v>0</v>
      </c>
      <c r="AD155" s="39">
        <v>0</v>
      </c>
      <c r="AE155" s="39">
        <f>AF155+AG155+AH155+AI155+AL155</f>
        <v>0</v>
      </c>
      <c r="AF155" s="39">
        <v>0</v>
      </c>
      <c r="AG155" s="39"/>
      <c r="AH155" s="39"/>
      <c r="AI155" s="39"/>
      <c r="AJ155" s="39"/>
      <c r="AK155" s="39"/>
      <c r="AL155" s="39"/>
      <c r="AM155" s="39"/>
      <c r="AN155" s="43"/>
      <c r="AO155" s="43"/>
      <c r="AP155" s="39"/>
      <c r="AQ155" s="43"/>
      <c r="AR155" s="44"/>
      <c r="AS155" s="44"/>
      <c r="AT155" s="44"/>
      <c r="AU155" s="39"/>
      <c r="AV155" s="44"/>
      <c r="AW155" s="39"/>
      <c r="AX155" s="39"/>
      <c r="AY155" s="39"/>
      <c r="AZ155" s="39"/>
      <c r="BA155" s="39"/>
      <c r="BB155" s="39"/>
      <c r="BC155" s="39"/>
      <c r="BD155" s="39">
        <v>0</v>
      </c>
      <c r="BE155" s="39">
        <v>0</v>
      </c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</row>
    <row r="156" spans="1:77">
      <c r="A156" s="37">
        <v>805962</v>
      </c>
      <c r="B156" s="38" t="s">
        <v>232</v>
      </c>
      <c r="C156" s="39">
        <f t="shared" si="48"/>
        <v>0</v>
      </c>
      <c r="D156" s="39"/>
      <c r="E156" s="41"/>
      <c r="F156" s="41"/>
      <c r="G156" s="41"/>
      <c r="H156" s="39"/>
      <c r="I156" s="39"/>
      <c r="J156" s="39"/>
      <c r="K156" s="39"/>
      <c r="L156" s="41"/>
      <c r="M156" s="41"/>
      <c r="N156" s="41"/>
      <c r="O156" s="41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>
        <v>0</v>
      </c>
      <c r="AD156" s="39">
        <v>0</v>
      </c>
      <c r="AE156" s="39">
        <f>AF156+AG156+AH156+AI156+AL156</f>
        <v>0</v>
      </c>
      <c r="AF156" s="39">
        <v>0</v>
      </c>
      <c r="AG156" s="39"/>
      <c r="AH156" s="39"/>
      <c r="AI156" s="39"/>
      <c r="AJ156" s="39"/>
      <c r="AK156" s="39"/>
      <c r="AL156" s="39"/>
      <c r="AM156" s="39"/>
      <c r="AN156" s="43"/>
      <c r="AO156" s="43"/>
      <c r="AP156" s="39"/>
      <c r="AQ156" s="43"/>
      <c r="AR156" s="44"/>
      <c r="AS156" s="44"/>
      <c r="AT156" s="44"/>
      <c r="AU156" s="39">
        <f>AV156+AW156</f>
        <v>0</v>
      </c>
      <c r="AV156" s="44">
        <v>0</v>
      </c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</row>
    <row r="157" spans="1:77" ht="25.5">
      <c r="A157" s="37">
        <v>805965</v>
      </c>
      <c r="B157" s="38" t="s">
        <v>233</v>
      </c>
      <c r="C157" s="39">
        <f t="shared" si="48"/>
        <v>0</v>
      </c>
      <c r="D157" s="39"/>
      <c r="E157" s="41"/>
      <c r="F157" s="41"/>
      <c r="G157" s="41"/>
      <c r="H157" s="39"/>
      <c r="I157" s="39"/>
      <c r="J157" s="39"/>
      <c r="K157" s="39"/>
      <c r="L157" s="41"/>
      <c r="M157" s="41"/>
      <c r="N157" s="41"/>
      <c r="O157" s="41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43"/>
      <c r="AO157" s="43"/>
      <c r="AP157" s="39"/>
      <c r="AQ157" s="43"/>
      <c r="AR157" s="44"/>
      <c r="AS157" s="44"/>
      <c r="AT157" s="44"/>
      <c r="AU157" s="39"/>
      <c r="AV157" s="44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>
        <v>2695</v>
      </c>
      <c r="BL157" s="39">
        <f>1351-1351</f>
        <v>0</v>
      </c>
      <c r="BM157" s="39"/>
      <c r="BN157" s="39"/>
      <c r="BO157" s="39"/>
      <c r="BP157" s="39"/>
      <c r="BQ157" s="39"/>
      <c r="BR157" s="39">
        <f>BS157+BT157+BU157+BV157+BW157+BX157</f>
        <v>9315354</v>
      </c>
      <c r="BS157" s="39">
        <v>5672670</v>
      </c>
      <c r="BT157" s="39">
        <v>743917</v>
      </c>
      <c r="BU157" s="39">
        <v>1712249</v>
      </c>
      <c r="BV157" s="39">
        <v>905209</v>
      </c>
      <c r="BW157" s="39">
        <v>101957</v>
      </c>
      <c r="BX157" s="39">
        <v>179352</v>
      </c>
      <c r="BY157" s="39"/>
    </row>
    <row r="158" spans="1:77" ht="25.5">
      <c r="A158" s="37">
        <v>805968</v>
      </c>
      <c r="B158" s="38" t="s">
        <v>234</v>
      </c>
      <c r="C158" s="39">
        <f t="shared" si="48"/>
        <v>0</v>
      </c>
      <c r="D158" s="39"/>
      <c r="E158" s="41"/>
      <c r="F158" s="41"/>
      <c r="G158" s="41"/>
      <c r="H158" s="39"/>
      <c r="I158" s="39"/>
      <c r="J158" s="39"/>
      <c r="K158" s="39"/>
      <c r="L158" s="41"/>
      <c r="M158" s="41"/>
      <c r="N158" s="41"/>
      <c r="O158" s="41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43"/>
      <c r="AO158" s="43"/>
      <c r="AP158" s="39"/>
      <c r="AQ158" s="43"/>
      <c r="AR158" s="44"/>
      <c r="AS158" s="44"/>
      <c r="AT158" s="44"/>
      <c r="AU158" s="39"/>
      <c r="AV158" s="44"/>
      <c r="AW158" s="39"/>
      <c r="AX158" s="39"/>
      <c r="AY158" s="39"/>
      <c r="AZ158" s="39"/>
      <c r="BA158" s="39"/>
      <c r="BB158" s="39"/>
      <c r="BC158" s="39">
        <v>1100</v>
      </c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</row>
    <row r="159" spans="1:77" ht="25.5">
      <c r="A159" s="37">
        <v>805976</v>
      </c>
      <c r="B159" s="38" t="s">
        <v>235</v>
      </c>
      <c r="C159" s="39">
        <f t="shared" si="48"/>
        <v>0</v>
      </c>
      <c r="D159" s="39"/>
      <c r="E159" s="41"/>
      <c r="F159" s="41"/>
      <c r="G159" s="41"/>
      <c r="H159" s="39"/>
      <c r="I159" s="39"/>
      <c r="J159" s="39">
        <f>K159+O159</f>
        <v>305</v>
      </c>
      <c r="K159" s="42">
        <f>300+5</f>
        <v>305</v>
      </c>
      <c r="L159" s="41"/>
      <c r="M159" s="41"/>
      <c r="N159" s="41"/>
      <c r="O159" s="41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>
        <f>AF159+AG159+AH159+AI159+AL159</f>
        <v>1000</v>
      </c>
      <c r="AF159" s="39">
        <v>1000</v>
      </c>
      <c r="AG159" s="39"/>
      <c r="AH159" s="39"/>
      <c r="AI159" s="39"/>
      <c r="AJ159" s="39"/>
      <c r="AK159" s="39"/>
      <c r="AL159" s="39"/>
      <c r="AM159" s="39"/>
      <c r="AN159" s="43"/>
      <c r="AO159" s="43"/>
      <c r="AP159" s="39"/>
      <c r="AQ159" s="43"/>
      <c r="AR159" s="44"/>
      <c r="AS159" s="44"/>
      <c r="AT159" s="44"/>
      <c r="AU159" s="39"/>
      <c r="AV159" s="44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</row>
    <row r="160" spans="1:77" ht="25.5">
      <c r="A160" s="37">
        <v>805978</v>
      </c>
      <c r="B160" s="38" t="s">
        <v>236</v>
      </c>
      <c r="C160" s="39">
        <f t="shared" si="48"/>
        <v>0</v>
      </c>
      <c r="D160" s="39"/>
      <c r="E160" s="41"/>
      <c r="F160" s="41"/>
      <c r="G160" s="41"/>
      <c r="H160" s="39"/>
      <c r="I160" s="39"/>
      <c r="J160" s="39"/>
      <c r="K160" s="39"/>
      <c r="L160" s="41"/>
      <c r="M160" s="41"/>
      <c r="N160" s="41"/>
      <c r="O160" s="41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43"/>
      <c r="AO160" s="43"/>
      <c r="AP160" s="39"/>
      <c r="AQ160" s="43"/>
      <c r="AR160" s="44"/>
      <c r="AS160" s="44"/>
      <c r="AT160" s="44"/>
      <c r="AU160" s="39"/>
      <c r="AV160" s="44"/>
      <c r="AW160" s="39"/>
      <c r="AX160" s="39"/>
      <c r="AY160" s="39"/>
      <c r="AZ160" s="39"/>
      <c r="BA160" s="39"/>
      <c r="BB160" s="39">
        <f>500+400</f>
        <v>900</v>
      </c>
      <c r="BC160" s="39"/>
      <c r="BD160" s="39"/>
      <c r="BE160" s="39">
        <v>1000</v>
      </c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</row>
    <row r="161" spans="1:77" ht="25.5">
      <c r="A161" s="37">
        <v>805979</v>
      </c>
      <c r="B161" s="38" t="s">
        <v>237</v>
      </c>
      <c r="C161" s="39">
        <f t="shared" si="48"/>
        <v>0</v>
      </c>
      <c r="D161" s="39"/>
      <c r="E161" s="41"/>
      <c r="F161" s="41"/>
      <c r="G161" s="41"/>
      <c r="H161" s="39"/>
      <c r="I161" s="39"/>
      <c r="J161" s="39"/>
      <c r="K161" s="39"/>
      <c r="L161" s="41"/>
      <c r="M161" s="41"/>
      <c r="N161" s="41"/>
      <c r="O161" s="41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43"/>
      <c r="AO161" s="43"/>
      <c r="AP161" s="39"/>
      <c r="AQ161" s="43"/>
      <c r="AR161" s="44"/>
      <c r="AS161" s="44"/>
      <c r="AT161" s="44"/>
      <c r="AU161" s="39"/>
      <c r="AV161" s="44"/>
      <c r="AW161" s="39"/>
      <c r="AX161" s="39"/>
      <c r="AY161" s="39"/>
      <c r="AZ161" s="39"/>
      <c r="BA161" s="39"/>
      <c r="BB161" s="39">
        <v>1920</v>
      </c>
      <c r="BC161" s="39">
        <v>980</v>
      </c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</row>
    <row r="162" spans="1:77">
      <c r="A162" s="37">
        <v>805982</v>
      </c>
      <c r="B162" s="38" t="s">
        <v>238</v>
      </c>
      <c r="C162" s="39">
        <f t="shared" si="48"/>
        <v>0</v>
      </c>
      <c r="D162" s="39"/>
      <c r="E162" s="41"/>
      <c r="F162" s="41"/>
      <c r="G162" s="41"/>
      <c r="H162" s="39"/>
      <c r="I162" s="39"/>
      <c r="J162" s="39">
        <f>K162+O162</f>
        <v>0</v>
      </c>
      <c r="K162" s="39">
        <v>0</v>
      </c>
      <c r="L162" s="41"/>
      <c r="M162" s="41"/>
      <c r="N162" s="41"/>
      <c r="O162" s="41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43"/>
      <c r="AO162" s="43"/>
      <c r="AP162" s="39"/>
      <c r="AQ162" s="43"/>
      <c r="AR162" s="44"/>
      <c r="AS162" s="44"/>
      <c r="AT162" s="44"/>
      <c r="AU162" s="39"/>
      <c r="AV162" s="44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</row>
    <row r="163" spans="1:77" ht="25.5">
      <c r="A163" s="37">
        <v>805984</v>
      </c>
      <c r="B163" s="38" t="s">
        <v>239</v>
      </c>
      <c r="C163" s="39">
        <f t="shared" si="48"/>
        <v>0</v>
      </c>
      <c r="D163" s="39"/>
      <c r="E163" s="41"/>
      <c r="F163" s="41"/>
      <c r="G163" s="41"/>
      <c r="H163" s="39"/>
      <c r="I163" s="39"/>
      <c r="J163" s="39"/>
      <c r="K163" s="39"/>
      <c r="L163" s="41"/>
      <c r="M163" s="41"/>
      <c r="N163" s="41"/>
      <c r="O163" s="41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43"/>
      <c r="AO163" s="43"/>
      <c r="AP163" s="39"/>
      <c r="AQ163" s="43"/>
      <c r="AR163" s="44"/>
      <c r="AS163" s="44"/>
      <c r="AT163" s="44"/>
      <c r="AU163" s="39"/>
      <c r="AV163" s="44"/>
      <c r="AW163" s="39"/>
      <c r="AX163" s="39"/>
      <c r="AY163" s="39"/>
      <c r="AZ163" s="39"/>
      <c r="BA163" s="39"/>
      <c r="BB163" s="39"/>
      <c r="BC163" s="39">
        <v>980</v>
      </c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</row>
    <row r="164" spans="1:77" ht="25.5">
      <c r="A164" s="37">
        <v>805986</v>
      </c>
      <c r="B164" s="38" t="s">
        <v>240</v>
      </c>
      <c r="C164" s="39">
        <f t="shared" si="48"/>
        <v>0</v>
      </c>
      <c r="D164" s="39"/>
      <c r="E164" s="41"/>
      <c r="F164" s="41"/>
      <c r="G164" s="41"/>
      <c r="H164" s="39"/>
      <c r="I164" s="39"/>
      <c r="J164" s="39">
        <f>K164+O164</f>
        <v>300</v>
      </c>
      <c r="K164" s="39">
        <v>300</v>
      </c>
      <c r="L164" s="41"/>
      <c r="M164" s="41"/>
      <c r="N164" s="41"/>
      <c r="O164" s="41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>
        <v>660</v>
      </c>
      <c r="AD164" s="39"/>
      <c r="AE164" s="39">
        <f>AF164+AG164+AH164+AI164+AL164</f>
        <v>670</v>
      </c>
      <c r="AF164" s="39">
        <v>670</v>
      </c>
      <c r="AG164" s="39"/>
      <c r="AH164" s="39"/>
      <c r="AI164" s="39"/>
      <c r="AJ164" s="39"/>
      <c r="AK164" s="39"/>
      <c r="AL164" s="39"/>
      <c r="AM164" s="39"/>
      <c r="AN164" s="43"/>
      <c r="AO164" s="43"/>
      <c r="AP164" s="39"/>
      <c r="AQ164" s="43"/>
      <c r="AR164" s="44"/>
      <c r="AS164" s="44"/>
      <c r="AT164" s="44"/>
      <c r="AU164" s="39"/>
      <c r="AV164" s="44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</row>
    <row r="165" spans="1:77" ht="25.5">
      <c r="A165" s="37">
        <v>805987</v>
      </c>
      <c r="B165" s="38" t="s">
        <v>241</v>
      </c>
      <c r="C165" s="39">
        <f t="shared" si="48"/>
        <v>0</v>
      </c>
      <c r="D165" s="39"/>
      <c r="E165" s="41"/>
      <c r="F165" s="41"/>
      <c r="G165" s="41"/>
      <c r="H165" s="39"/>
      <c r="I165" s="39"/>
      <c r="J165" s="39"/>
      <c r="K165" s="39"/>
      <c r="L165" s="41"/>
      <c r="M165" s="41"/>
      <c r="N165" s="41"/>
      <c r="O165" s="41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43"/>
      <c r="AO165" s="43"/>
      <c r="AP165" s="39"/>
      <c r="AQ165" s="43"/>
      <c r="AR165" s="44"/>
      <c r="AS165" s="44"/>
      <c r="AT165" s="44"/>
      <c r="AU165" s="39"/>
      <c r="AV165" s="44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>
        <v>0</v>
      </c>
      <c r="BG165" s="39">
        <v>0</v>
      </c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</row>
    <row r="166" spans="1:77">
      <c r="A166" s="37">
        <v>805989</v>
      </c>
      <c r="B166" s="38" t="s">
        <v>242</v>
      </c>
      <c r="C166" s="39">
        <f t="shared" si="48"/>
        <v>0</v>
      </c>
      <c r="D166" s="39"/>
      <c r="E166" s="41"/>
      <c r="F166" s="41"/>
      <c r="G166" s="41"/>
      <c r="H166" s="39"/>
      <c r="I166" s="39"/>
      <c r="J166" s="39"/>
      <c r="K166" s="39"/>
      <c r="L166" s="41"/>
      <c r="M166" s="41"/>
      <c r="N166" s="41"/>
      <c r="O166" s="41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43"/>
      <c r="AO166" s="43"/>
      <c r="AP166" s="39"/>
      <c r="AQ166" s="43"/>
      <c r="AR166" s="44"/>
      <c r="AS166" s="44"/>
      <c r="AT166" s="44"/>
      <c r="AU166" s="39"/>
      <c r="AV166" s="44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>
        <v>0</v>
      </c>
      <c r="BG166" s="39">
        <v>0</v>
      </c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</row>
    <row r="167" spans="1:77">
      <c r="A167" s="37">
        <v>805990</v>
      </c>
      <c r="B167" s="38" t="s">
        <v>243</v>
      </c>
      <c r="C167" s="39">
        <f t="shared" si="48"/>
        <v>0</v>
      </c>
      <c r="D167" s="39"/>
      <c r="E167" s="41"/>
      <c r="F167" s="41"/>
      <c r="G167" s="41"/>
      <c r="H167" s="39"/>
      <c r="I167" s="39"/>
      <c r="J167" s="39"/>
      <c r="K167" s="39"/>
      <c r="L167" s="41"/>
      <c r="M167" s="41"/>
      <c r="N167" s="41"/>
      <c r="O167" s="41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43"/>
      <c r="AO167" s="43"/>
      <c r="AP167" s="39"/>
      <c r="AQ167" s="43"/>
      <c r="AR167" s="44"/>
      <c r="AS167" s="44"/>
      <c r="AT167" s="44"/>
      <c r="AU167" s="39"/>
      <c r="AV167" s="44"/>
      <c r="AW167" s="39"/>
      <c r="AX167" s="39"/>
      <c r="AY167" s="39"/>
      <c r="AZ167" s="39"/>
      <c r="BA167" s="39"/>
      <c r="BB167" s="39">
        <v>500</v>
      </c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</row>
    <row r="168" spans="1:77">
      <c r="A168" s="37">
        <v>805991</v>
      </c>
      <c r="B168" s="38" t="s">
        <v>244</v>
      </c>
      <c r="C168" s="39">
        <f t="shared" si="48"/>
        <v>0</v>
      </c>
      <c r="D168" s="39"/>
      <c r="E168" s="41"/>
      <c r="F168" s="41"/>
      <c r="G168" s="41"/>
      <c r="H168" s="39"/>
      <c r="I168" s="39"/>
      <c r="J168" s="39">
        <f>K168+O168</f>
        <v>300</v>
      </c>
      <c r="K168" s="39">
        <v>300</v>
      </c>
      <c r="L168" s="41"/>
      <c r="M168" s="41"/>
      <c r="N168" s="41"/>
      <c r="O168" s="41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43"/>
      <c r="AO168" s="43"/>
      <c r="AP168" s="39"/>
      <c r="AQ168" s="43"/>
      <c r="AR168" s="44"/>
      <c r="AS168" s="44"/>
      <c r="AT168" s="44"/>
      <c r="AU168" s="39"/>
      <c r="AV168" s="44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</row>
    <row r="169" spans="1:77" ht="25.5">
      <c r="A169" s="37">
        <v>805993</v>
      </c>
      <c r="B169" s="38" t="s">
        <v>245</v>
      </c>
      <c r="C169" s="39">
        <f t="shared" si="48"/>
        <v>0</v>
      </c>
      <c r="D169" s="39"/>
      <c r="E169" s="41"/>
      <c r="F169" s="41"/>
      <c r="G169" s="41"/>
      <c r="H169" s="39"/>
      <c r="I169" s="39"/>
      <c r="J169" s="39"/>
      <c r="K169" s="39"/>
      <c r="L169" s="41"/>
      <c r="M169" s="41"/>
      <c r="N169" s="41"/>
      <c r="O169" s="41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43"/>
      <c r="AO169" s="43"/>
      <c r="AP169" s="39"/>
      <c r="AQ169" s="43"/>
      <c r="AR169" s="44"/>
      <c r="AS169" s="44"/>
      <c r="AT169" s="44"/>
      <c r="AU169" s="39"/>
      <c r="AV169" s="44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>
        <v>0</v>
      </c>
      <c r="BG169" s="39">
        <v>0</v>
      </c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</row>
    <row r="170" spans="1:77" ht="38.25">
      <c r="A170" s="37">
        <v>805996</v>
      </c>
      <c r="B170" s="38" t="s">
        <v>246</v>
      </c>
      <c r="C170" s="39">
        <f t="shared" si="48"/>
        <v>0</v>
      </c>
      <c r="D170" s="39"/>
      <c r="E170" s="41"/>
      <c r="F170" s="41"/>
      <c r="G170" s="41"/>
      <c r="H170" s="39"/>
      <c r="I170" s="39"/>
      <c r="J170" s="39">
        <f>K170+O170</f>
        <v>200</v>
      </c>
      <c r="K170" s="39">
        <v>200</v>
      </c>
      <c r="L170" s="41"/>
      <c r="M170" s="41"/>
      <c r="N170" s="41"/>
      <c r="O170" s="41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43"/>
      <c r="AO170" s="43"/>
      <c r="AP170" s="39"/>
      <c r="AQ170" s="43"/>
      <c r="AR170" s="44"/>
      <c r="AS170" s="44"/>
      <c r="AT170" s="44"/>
      <c r="AU170" s="39"/>
      <c r="AV170" s="44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</row>
    <row r="171" spans="1:77" ht="25.5">
      <c r="A171" s="37">
        <v>805999</v>
      </c>
      <c r="B171" s="38" t="s">
        <v>247</v>
      </c>
      <c r="C171" s="39">
        <f t="shared" si="48"/>
        <v>0</v>
      </c>
      <c r="D171" s="39"/>
      <c r="E171" s="41"/>
      <c r="F171" s="41"/>
      <c r="G171" s="41"/>
      <c r="H171" s="39"/>
      <c r="I171" s="39"/>
      <c r="J171" s="39">
        <f>K171+O171</f>
        <v>0</v>
      </c>
      <c r="K171" s="39">
        <v>0</v>
      </c>
      <c r="L171" s="41"/>
      <c r="M171" s="41"/>
      <c r="N171" s="41"/>
      <c r="O171" s="41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43"/>
      <c r="AO171" s="43"/>
      <c r="AP171" s="39"/>
      <c r="AQ171" s="43"/>
      <c r="AR171" s="44"/>
      <c r="AS171" s="44"/>
      <c r="AT171" s="44"/>
      <c r="AU171" s="39"/>
      <c r="AV171" s="44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</row>
    <row r="172" spans="1:77" ht="25.5">
      <c r="A172" s="37">
        <v>806503</v>
      </c>
      <c r="B172" s="38" t="s">
        <v>248</v>
      </c>
      <c r="C172" s="39">
        <f t="shared" si="48"/>
        <v>0</v>
      </c>
      <c r="D172" s="39"/>
      <c r="E172" s="41"/>
      <c r="F172" s="41"/>
      <c r="G172" s="41"/>
      <c r="H172" s="39"/>
      <c r="I172" s="39"/>
      <c r="J172" s="39"/>
      <c r="K172" s="39"/>
      <c r="L172" s="41"/>
      <c r="M172" s="41"/>
      <c r="N172" s="41"/>
      <c r="O172" s="41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43"/>
      <c r="AO172" s="43"/>
      <c r="AP172" s="39"/>
      <c r="AQ172" s="43"/>
      <c r="AR172" s="44"/>
      <c r="AS172" s="44"/>
      <c r="AT172" s="44"/>
      <c r="AU172" s="39"/>
      <c r="AV172" s="44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>
        <v>0</v>
      </c>
    </row>
    <row r="173" spans="1:77" s="47" customFormat="1">
      <c r="A173" s="50"/>
      <c r="B173" s="50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BY173" s="51"/>
    </row>
    <row r="175" spans="1:77">
      <c r="E175" s="48"/>
      <c r="F175" s="48"/>
      <c r="G175" s="48"/>
    </row>
    <row r="176" spans="1:77">
      <c r="AH176" s="49"/>
      <c r="AI176" s="49"/>
    </row>
  </sheetData>
  <mergeCells count="98">
    <mergeCell ref="W8:W9"/>
    <mergeCell ref="X8:X9"/>
    <mergeCell ref="Z8:Z9"/>
    <mergeCell ref="AA8:AA9"/>
    <mergeCell ref="AJ8:AJ9"/>
    <mergeCell ref="AK8:AK9"/>
    <mergeCell ref="AZ7:AZ9"/>
    <mergeCell ref="BA7:BA9"/>
    <mergeCell ref="BS7:BS9"/>
    <mergeCell ref="BT7:BT9"/>
    <mergeCell ref="BU7:BU9"/>
    <mergeCell ref="BV7:BV9"/>
    <mergeCell ref="AJ7:AK7"/>
    <mergeCell ref="AL7:AL9"/>
    <mergeCell ref="AM7:AN7"/>
    <mergeCell ref="AQ7:AQ9"/>
    <mergeCell ref="AR7:AR9"/>
    <mergeCell ref="AS7:AS9"/>
    <mergeCell ref="AM8:AM9"/>
    <mergeCell ref="AN8:AN9"/>
    <mergeCell ref="Q7:Q9"/>
    <mergeCell ref="R7:S7"/>
    <mergeCell ref="T7:T9"/>
    <mergeCell ref="U7:X7"/>
    <mergeCell ref="Y7:Y9"/>
    <mergeCell ref="Z7:AA7"/>
    <mergeCell ref="R8:R9"/>
    <mergeCell ref="S8:S9"/>
    <mergeCell ref="U8:U9"/>
    <mergeCell ref="V8:V9"/>
    <mergeCell ref="E7:E9"/>
    <mergeCell ref="F7:F9"/>
    <mergeCell ref="G7:G9"/>
    <mergeCell ref="K7:K9"/>
    <mergeCell ref="L7:N7"/>
    <mergeCell ref="O7:O9"/>
    <mergeCell ref="L8:L9"/>
    <mergeCell ref="M8:M9"/>
    <mergeCell ref="N8:N9"/>
    <mergeCell ref="BN6:BN9"/>
    <mergeCell ref="BO6:BO9"/>
    <mergeCell ref="BP6:BP9"/>
    <mergeCell ref="BQ6:BQ9"/>
    <mergeCell ref="BR6:BR9"/>
    <mergeCell ref="BS6:BX6"/>
    <mergeCell ref="BW7:BW9"/>
    <mergeCell ref="BX7:BX9"/>
    <mergeCell ref="BH6:BH9"/>
    <mergeCell ref="BI6:BI9"/>
    <mergeCell ref="BJ6:BJ9"/>
    <mergeCell ref="BK6:BK9"/>
    <mergeCell ref="BL6:BL9"/>
    <mergeCell ref="BM6:BM9"/>
    <mergeCell ref="BB6:BB9"/>
    <mergeCell ref="BC6:BC9"/>
    <mergeCell ref="BD6:BD9"/>
    <mergeCell ref="BE6:BE9"/>
    <mergeCell ref="BF6:BF9"/>
    <mergeCell ref="BG6:BG9"/>
    <mergeCell ref="AP6:AP9"/>
    <mergeCell ref="AQ6:AT6"/>
    <mergeCell ref="AU6:AU9"/>
    <mergeCell ref="AV6:AW6"/>
    <mergeCell ref="AX6:AX9"/>
    <mergeCell ref="AY6:BA6"/>
    <mergeCell ref="AT7:AT9"/>
    <mergeCell ref="AV7:AV9"/>
    <mergeCell ref="AW7:AW9"/>
    <mergeCell ref="AY7:AY9"/>
    <mergeCell ref="AB6:AB9"/>
    <mergeCell ref="AC6:AC9"/>
    <mergeCell ref="AD6:AD9"/>
    <mergeCell ref="AE6:AE9"/>
    <mergeCell ref="AF6:AN6"/>
    <mergeCell ref="AO6:AO9"/>
    <mergeCell ref="AF7:AF9"/>
    <mergeCell ref="AG7:AG9"/>
    <mergeCell ref="AH7:AH9"/>
    <mergeCell ref="AI7:AI9"/>
    <mergeCell ref="BY4:BY9"/>
    <mergeCell ref="C5:C9"/>
    <mergeCell ref="D5:I5"/>
    <mergeCell ref="P5:BA5"/>
    <mergeCell ref="BB5:BL5"/>
    <mergeCell ref="BM5:BX5"/>
    <mergeCell ref="D6:D9"/>
    <mergeCell ref="E6:G6"/>
    <mergeCell ref="H6:H9"/>
    <mergeCell ref="I6:I9"/>
    <mergeCell ref="A4:A9"/>
    <mergeCell ref="B4:B9"/>
    <mergeCell ref="C4:I4"/>
    <mergeCell ref="J4:O5"/>
    <mergeCell ref="P4:BX4"/>
    <mergeCell ref="J6:J9"/>
    <mergeCell ref="K6:O6"/>
    <mergeCell ref="P6:P9"/>
    <mergeCell ref="Q6:AA6"/>
  </mergeCells>
  <pageMargins left="0.39370078740157483" right="0.39370078740157483" top="0.39370078740157483" bottom="0.39370078740157483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28.05.2026</vt:lpstr>
      <vt:lpstr>'28.05.2026'!Заголовки_для_печати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SKovaleva</dc:creator>
  <cp:lastModifiedBy>SKovaleva</cp:lastModifiedBy>
  <dcterms:created xsi:type="dcterms:W3CDTF">2026-06-02T11:06:09Z</dcterms:created>
  <dcterms:modified xsi:type="dcterms:W3CDTF">2026-06-02T11:14:01Z</dcterms:modified>
</cp:coreProperties>
</file>